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7280" windowHeight="9780"/>
  </bookViews>
  <sheets>
    <sheet name="Read Me" sheetId="9" r:id="rId1"/>
    <sheet name="Data Inputs" sheetId="7" r:id="rId2"/>
    <sheet name="SCR Design Parameters" sheetId="8" r:id="rId3"/>
    <sheet name="Cost Estimate" sheetId="1" r:id="rId4"/>
  </sheets>
  <definedNames>
    <definedName name="_xlnm.Print_Area" localSheetId="3">'Cost Estimate'!$A$1:$E$105</definedName>
    <definedName name="_xlnm.Print_Area" localSheetId="1">'Data Inputs'!$A$1:$N$74</definedName>
    <definedName name="_xlnm.Print_Area" localSheetId="2">'SCR Design Parameters'!$A$1:$H$62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8" l="1"/>
  <c r="B7" i="8"/>
  <c r="D55" i="7" l="1"/>
  <c r="I55" i="7" l="1"/>
  <c r="I54" i="7" l="1"/>
  <c r="D51" i="8" l="1"/>
  <c r="D54" i="7" l="1"/>
  <c r="I56" i="7" l="1"/>
  <c r="C12" i="8" l="1"/>
  <c r="C56" i="8" l="1"/>
  <c r="B13" i="7" l="1"/>
  <c r="G13" i="7"/>
  <c r="I57" i="7" l="1"/>
  <c r="H17" i="1"/>
  <c r="G17" i="1"/>
  <c r="H15" i="1"/>
  <c r="G15" i="1"/>
  <c r="H13" i="1"/>
  <c r="G13" i="1"/>
  <c r="H11" i="1"/>
  <c r="G11" i="1"/>
  <c r="H9" i="1"/>
  <c r="G9" i="1"/>
  <c r="H7" i="1"/>
  <c r="G7" i="1"/>
  <c r="G62" i="1"/>
  <c r="G60" i="1"/>
  <c r="G45" i="1"/>
  <c r="G43" i="1"/>
  <c r="D53" i="7"/>
  <c r="G37" i="1"/>
  <c r="G35" i="1"/>
  <c r="A87" i="1" l="1"/>
  <c r="E7" i="7"/>
  <c r="C24" i="8"/>
  <c r="A7" i="7"/>
  <c r="F26" i="7" l="1"/>
  <c r="H83" i="1" l="1"/>
  <c r="D85" i="1" s="1"/>
  <c r="A86" i="1"/>
  <c r="A84" i="1"/>
  <c r="A85" i="1"/>
  <c r="E82" i="1" l="1"/>
  <c r="D57" i="7" l="1"/>
  <c r="D58" i="7"/>
  <c r="O39" i="7"/>
  <c r="D42" i="7"/>
  <c r="D41" i="7"/>
  <c r="E41" i="7"/>
  <c r="B36" i="7"/>
  <c r="B93" i="1" l="1"/>
  <c r="I59" i="7"/>
  <c r="I58" i="7"/>
  <c r="D59" i="7"/>
  <c r="B24" i="8" l="1"/>
  <c r="B40" i="7" l="1"/>
  <c r="N30" i="8" l="1"/>
  <c r="C30" i="8" s="1"/>
  <c r="L32" i="8"/>
  <c r="B10" i="8"/>
  <c r="V10" i="7" l="1"/>
  <c r="V11" i="7" s="1"/>
  <c r="A30" i="1" l="1"/>
  <c r="E38" i="7"/>
  <c r="D38" i="7" l="1"/>
  <c r="H45" i="1" l="1"/>
  <c r="H43" i="1" l="1"/>
  <c r="C15" i="8"/>
  <c r="L29" i="8"/>
  <c r="C22" i="8"/>
  <c r="C21" i="8" s="1"/>
  <c r="G3" i="1" s="1"/>
  <c r="E21" i="8"/>
  <c r="L34" i="8"/>
  <c r="L31" i="8"/>
  <c r="L30" i="8"/>
  <c r="H47" i="1" l="1"/>
  <c r="D19" i="1"/>
  <c r="B62" i="8"/>
  <c r="E47" i="1" l="1"/>
  <c r="L44" i="8"/>
  <c r="F44" i="8"/>
  <c r="B44" i="8"/>
  <c r="D26" i="1"/>
  <c r="D64" i="7" l="1"/>
  <c r="C23" i="8" l="1"/>
  <c r="B23" i="8" l="1"/>
  <c r="D104" i="1" l="1"/>
  <c r="D102" i="1"/>
  <c r="L19" i="8" l="1"/>
  <c r="C19" i="8" s="1"/>
  <c r="H86" i="1" l="1"/>
  <c r="H87" i="1"/>
  <c r="H37" i="1"/>
  <c r="H62" i="1"/>
  <c r="G53" i="1"/>
  <c r="H53" i="1"/>
  <c r="D56" i="7"/>
  <c r="A56" i="1" l="1"/>
  <c r="F45" i="8" l="1"/>
  <c r="D20" i="8"/>
  <c r="E20" i="8"/>
  <c r="A22" i="8"/>
  <c r="A7" i="8" l="1"/>
  <c r="C8" i="8"/>
  <c r="B6" i="8"/>
  <c r="H19" i="1" l="1"/>
  <c r="G19" i="1" l="1"/>
  <c r="B19" i="1" s="1"/>
  <c r="C6" i="8"/>
  <c r="C7" i="8" l="1"/>
  <c r="C10" i="8" s="1"/>
  <c r="C48" i="8"/>
  <c r="C31" i="8"/>
  <c r="H85" i="1" s="1"/>
  <c r="C16" i="8"/>
  <c r="C32" i="8" l="1"/>
  <c r="D65" i="7"/>
  <c r="C38" i="8" l="1"/>
  <c r="C39" i="8" s="1"/>
  <c r="C33" i="8"/>
  <c r="B53" i="7"/>
  <c r="D8" i="8"/>
  <c r="D7" i="8"/>
  <c r="B79" i="1"/>
  <c r="E95" i="1"/>
  <c r="E94" i="1"/>
  <c r="E93" i="1"/>
  <c r="E88" i="1"/>
  <c r="E81" i="1"/>
  <c r="E80" i="1"/>
  <c r="E79" i="1"/>
  <c r="D74" i="1"/>
  <c r="D73" i="1"/>
  <c r="D72" i="1"/>
  <c r="E64" i="1"/>
  <c r="E55" i="1"/>
  <c r="E39" i="1"/>
  <c r="D29" i="1"/>
  <c r="D28" i="1"/>
  <c r="D27" i="1"/>
  <c r="D25" i="1"/>
  <c r="M44" i="8"/>
  <c r="C9" i="8"/>
  <c r="H60" i="1" s="1"/>
  <c r="H51" i="1" l="1"/>
  <c r="H55" i="1" s="1"/>
  <c r="H64" i="1"/>
  <c r="G51" i="1"/>
  <c r="G55" i="1" s="1"/>
  <c r="G64" i="1"/>
  <c r="C61" i="8"/>
  <c r="C20" i="8"/>
  <c r="C49" i="8"/>
  <c r="D55" i="1" l="1"/>
  <c r="B27" i="1" s="1"/>
  <c r="D64" i="1"/>
  <c r="C50" i="8"/>
  <c r="C11" i="8"/>
  <c r="C51" i="8" l="1"/>
  <c r="D80" i="1"/>
  <c r="D81" i="1"/>
  <c r="B28" i="1"/>
  <c r="G47" i="1" l="1"/>
  <c r="D47" i="1" l="1"/>
  <c r="B26" i="1" s="1"/>
  <c r="C13" i="8"/>
  <c r="C14" i="8" s="1"/>
  <c r="C103" i="1" s="1"/>
  <c r="H35" i="1"/>
  <c r="C40" i="8" l="1"/>
  <c r="C17" i="8"/>
  <c r="H88" i="1" l="1"/>
  <c r="D82" i="1" s="1"/>
  <c r="H38" i="1"/>
  <c r="G38" i="1"/>
  <c r="C18" i="8"/>
  <c r="D39" i="1" l="1"/>
  <c r="B25" i="1" s="1"/>
  <c r="B29" i="1" s="1"/>
  <c r="D94" i="1" l="1"/>
  <c r="D79" i="1"/>
  <c r="D88" i="1" s="1"/>
  <c r="D93" i="1" l="1"/>
  <c r="D95" i="1" s="1"/>
  <c r="C73" i="1" s="1"/>
  <c r="C72" i="1"/>
  <c r="C74" i="1" l="1"/>
  <c r="C102" i="1" s="1"/>
  <c r="C104" i="1" s="1"/>
</calcChain>
</file>

<file path=xl/sharedStrings.xml><?xml version="1.0" encoding="utf-8"?>
<sst xmlns="http://schemas.openxmlformats.org/spreadsheetml/2006/main" count="374" uniqueCount="319">
  <si>
    <t>Air Pollution Control Cost Estimation Spreadsheet</t>
  </si>
  <si>
    <t>For Selective Catalytic Reduction (SCR)</t>
  </si>
  <si>
    <t xml:space="preserve">U.S. Environmental Protection Agency </t>
  </si>
  <si>
    <t>Air Economics Group</t>
  </si>
  <si>
    <t>Health and Environmental Impacts Division</t>
  </si>
  <si>
    <t>Office of Air Quality Planning and Standards</t>
  </si>
  <si>
    <t>(June 2019)</t>
  </si>
  <si>
    <r>
      <t>This spreadsheet allows users to estimate the capital and annualized costs for installing and operating a Selective Catalytic Reduction (SCR) control device. SCR is a post-combustion control technology for reducing NO</t>
    </r>
    <r>
      <rPr>
        <vertAlign val="subscript"/>
        <sz val="12"/>
        <color theme="8" tint="-0.499984740745262"/>
        <rFont val="Calibri"/>
        <family val="2"/>
        <scheme val="minor"/>
      </rPr>
      <t>x</t>
    </r>
    <r>
      <rPr>
        <sz val="12"/>
        <color theme="8" tint="-0.499984740745262"/>
        <rFont val="Calibri"/>
        <family val="2"/>
        <scheme val="minor"/>
      </rPr>
      <t xml:space="preserve"> emissions that employs a metal-based catalyst and an ammonia-based reducing reagent (urea or ammonia). The reagent reacts selectively with the flue gas NO</t>
    </r>
    <r>
      <rPr>
        <vertAlign val="subscript"/>
        <sz val="12"/>
        <color theme="8" tint="-0.499984740745262"/>
        <rFont val="Calibri"/>
        <family val="2"/>
        <scheme val="minor"/>
      </rPr>
      <t>x</t>
    </r>
    <r>
      <rPr>
        <sz val="12"/>
        <color theme="8" tint="-0.499984740745262"/>
        <rFont val="Calibri"/>
        <family val="2"/>
        <scheme val="minor"/>
      </rPr>
      <t xml:space="preserve"> within a specific temperature range to produce N</t>
    </r>
    <r>
      <rPr>
        <vertAlign val="subscript"/>
        <sz val="12"/>
        <color theme="8" tint="-0.499984740745262"/>
        <rFont val="Calibri"/>
        <family val="2"/>
        <scheme val="minor"/>
      </rPr>
      <t>2</t>
    </r>
    <r>
      <rPr>
        <sz val="12"/>
        <color theme="8" tint="-0.499984740745262"/>
        <rFont val="Calibri"/>
        <family val="2"/>
        <scheme val="minor"/>
      </rPr>
      <t xml:space="preserve"> and water vapor. </t>
    </r>
  </si>
  <si>
    <t>The calculation methodologies used in this spreadsheet are those presented in the U.S. EPA's Air Pollution Control Cost Manual.  This spreadsheet is intended to be used in combination with the SCR chapter and cost estimation methodology in the Control Cost Manual. For a detailed description of the SCR control technology and the cost methodologies, see Section 4, Chapter 2 of the Air Pollution Control Cost Manual (as updated March 2019).  A copy of the Control Cost Manual is available on the U.S. EPA's "Technology Transfer Network" website at: http://www3.epa.gov/ttn/catc/products.html#cccinfo.</t>
  </si>
  <si>
    <t>The spreadsheet can be used to estimate capital and annualized costs for applying SCR, and particularly to the following types of combustion units:</t>
  </si>
  <si>
    <t xml:space="preserve">(1)   </t>
  </si>
  <si>
    <t>Coal-fired utility boilers with full load capacities greater than or equal to 25 MW.</t>
  </si>
  <si>
    <t xml:space="preserve">(2)   </t>
  </si>
  <si>
    <t>Fuel oil- and natural gas-fired utility boilers with full load capacities greater than or equal to 25 MW.</t>
  </si>
  <si>
    <t xml:space="preserve">(3)   </t>
  </si>
  <si>
    <t>Coal-fired industrial boilers with maximum heat input capacities greater than or equal to 250 MMBtu/hour.</t>
  </si>
  <si>
    <t xml:space="preserve">(4)   </t>
  </si>
  <si>
    <t>Fuel oil- and natural gas-fired industrial boilers with maximum heat input capacities greater than or equal to 250 MMBtu/hour.</t>
  </si>
  <si>
    <r>
      <t>The size and costs of the SCR are based primarily on five parameters: the boiler size or heat input, the type of fuel burned, the required level of NOx reduction, reagent consumption rate, and catalyst costs. The equations for utility boilers are identical to those used in the IPM. However, the equations for industrial boilers were developed based on the IPM equations for utility boilers. This approach provides study-level estimates (</t>
    </r>
    <r>
      <rPr>
        <sz val="12"/>
        <color theme="8" tint="-0.499984740745262"/>
        <rFont val="Calibri"/>
        <family val="2"/>
      </rPr>
      <t>±</t>
    </r>
    <r>
      <rPr>
        <sz val="12"/>
        <color theme="8" tint="-0.499984740745262"/>
        <rFont val="Calibri"/>
        <family val="2"/>
        <scheme val="minor"/>
      </rPr>
      <t xml:space="preserve">30%) of SCR capital and annual costs. Default data in the spreadsheet is taken from the SCR Control Cost Manual and other sources such as the U.S. Energy Information Administration (EIA).  The actual costs may vary from those calculated here due to site-specific conditions. Selection of the most cost-effective control option should be based on a detailed engineering study and cost quotations from system suppliers.  The methodology used in this spreadsheet is based on the U.S. EPA Clean Air Markets Division (CAMD)'s Integrated Planning Model (IPM) (version 6).  For additional information regarding the IPM, see the EPA Clean Air Markets webpage at http://www.epa.gov/airmarkets/power-sector-modeling.  The Agency wishes to note that all spreadsheet data inputs other than default data are merely available to show an example calculation.  </t>
    </r>
  </si>
  <si>
    <t xml:space="preserve">Instructions </t>
  </si>
  <si>
    <r>
      <rPr>
        <b/>
        <u/>
        <sz val="12"/>
        <color theme="8" tint="-0.499984740745262"/>
        <rFont val="Calibri"/>
        <family val="2"/>
        <scheme val="minor"/>
      </rPr>
      <t>Step 1</t>
    </r>
    <r>
      <rPr>
        <b/>
        <sz val="12"/>
        <color theme="8" tint="-0.499984740745262"/>
        <rFont val="Calibri"/>
        <family val="2"/>
        <scheme val="minor"/>
      </rPr>
      <t xml:space="preserve">: </t>
    </r>
    <r>
      <rPr>
        <sz val="12"/>
        <color theme="8" tint="-0.499984740745262"/>
        <rFont val="Calibri"/>
        <family val="2"/>
        <scheme val="minor"/>
      </rPr>
      <t xml:space="preserve">Please select on the </t>
    </r>
    <r>
      <rPr>
        <b/>
        <i/>
        <sz val="12"/>
        <color theme="8" tint="-0.499984740745262"/>
        <rFont val="Calibri"/>
        <family val="2"/>
        <scheme val="minor"/>
      </rPr>
      <t>Data Inputs</t>
    </r>
    <r>
      <rPr>
        <sz val="12"/>
        <color theme="8" tint="-0.499984740745262"/>
        <rFont val="Calibri"/>
        <family val="2"/>
        <scheme val="minor"/>
      </rPr>
      <t xml:space="preserve"> tab and click on the </t>
    </r>
    <r>
      <rPr>
        <b/>
        <i/>
        <sz val="12"/>
        <color theme="8" tint="-0.499984740745262"/>
        <rFont val="Calibri"/>
        <family val="2"/>
        <scheme val="minor"/>
      </rPr>
      <t>Reset Form</t>
    </r>
    <r>
      <rPr>
        <sz val="12"/>
        <color theme="8" tint="-0.499984740745262"/>
        <rFont val="Calibri"/>
        <family val="2"/>
        <scheme val="minor"/>
      </rPr>
      <t xml:space="preserve"> button. This will clear many of the input cells and reset others to default values.   </t>
    </r>
  </si>
  <si>
    <r>
      <rPr>
        <b/>
        <u/>
        <sz val="12"/>
        <color theme="8" tint="-0.499984740745262"/>
        <rFont val="Calibri"/>
        <family val="2"/>
        <scheme val="minor"/>
      </rPr>
      <t>Step 2</t>
    </r>
    <r>
      <rPr>
        <b/>
        <sz val="12"/>
        <color theme="8" tint="-0.499984740745262"/>
        <rFont val="Calibri"/>
        <family val="2"/>
        <scheme val="minor"/>
      </rPr>
      <t xml:space="preserve">: </t>
    </r>
    <r>
      <rPr>
        <sz val="12"/>
        <color theme="8" tint="-0.499984740745262"/>
        <rFont val="Calibri"/>
        <family val="2"/>
        <scheme val="minor"/>
      </rPr>
      <t xml:space="preserve"> Select the type of combustion unit (utility or industrial) using the pull down menu. Indicate whether the SCR is for new construction or retrofit of an existing boiler. If the SCR will be installed on an existing boiler, enter a retrofit factor between 0.8 and 1.5. Use 1 for retrofits with an average level of difficulty. For more difficult retrofits, you may use a retrofit factor greater than 1; however, you must document why the value used is appropriate.</t>
    </r>
  </si>
  <si>
    <r>
      <rPr>
        <b/>
        <u/>
        <sz val="12"/>
        <color theme="8" tint="-0.499984740745262"/>
        <rFont val="Calibri"/>
        <family val="2"/>
        <scheme val="minor"/>
      </rPr>
      <t>Step 3</t>
    </r>
    <r>
      <rPr>
        <b/>
        <sz val="12"/>
        <color theme="8" tint="-0.499984740745262"/>
        <rFont val="Calibri"/>
        <family val="2"/>
        <scheme val="minor"/>
      </rPr>
      <t xml:space="preserve">:  </t>
    </r>
    <r>
      <rPr>
        <sz val="12"/>
        <color theme="8" tint="-0.499984740745262"/>
        <rFont val="Calibri"/>
        <family val="2"/>
        <scheme val="minor"/>
      </rPr>
      <t xml:space="preserve">Select the type of fuel burned (coal, fuel oil, and natural gas) using the pull down menu. If you select fuel oil or natural gas, the HHV and NPHR fields will be prepopulated with default values. If you select coal, then you must complete the coal input box by first selecting the type of coal burned from the drop down menu. The weight percent sulfur content, HHV, and NPHR will be pre-populated with default factors based on the type of coal selected. However, we encourage you to enter your own values for these parameters, if they are known, since the actual fuel parameters may vary from the default values provided. Method 1 is pre-selected as the default method for calculating the catalyst replacement cost. For coal-fired units, you choose either method 1 or method 2 for calculating the catalyst replacement cost by selecting appropriate radio button. </t>
    </r>
  </si>
  <si>
    <r>
      <rPr>
        <b/>
        <u/>
        <sz val="12"/>
        <color theme="8" tint="-0.499984740745262"/>
        <rFont val="Calibri"/>
        <family val="2"/>
        <scheme val="minor"/>
      </rPr>
      <t>Step 4</t>
    </r>
    <r>
      <rPr>
        <b/>
        <sz val="12"/>
        <color theme="8" tint="-0.499984740745262"/>
        <rFont val="Calibri"/>
        <family val="2"/>
        <scheme val="minor"/>
      </rPr>
      <t>:</t>
    </r>
    <r>
      <rPr>
        <sz val="12"/>
        <color theme="8" tint="-0.499984740745262"/>
        <rFont val="Calibri"/>
        <family val="2"/>
        <scheme val="minor"/>
      </rPr>
      <t xml:space="preserve"> Complete all of the cells highlighted in yellow. If you do not know the catalyst volume (Vol</t>
    </r>
    <r>
      <rPr>
        <vertAlign val="subscript"/>
        <sz val="12"/>
        <color theme="8" tint="-0.499984740745262"/>
        <rFont val="Calibri"/>
        <family val="2"/>
        <scheme val="minor"/>
      </rPr>
      <t>catalyst</t>
    </r>
    <r>
      <rPr>
        <sz val="12"/>
        <color theme="8" tint="-0.499984740745262"/>
        <rFont val="Calibri"/>
        <family val="2"/>
        <scheme val="minor"/>
      </rPr>
      <t>) or flue gas flow rate (Q</t>
    </r>
    <r>
      <rPr>
        <vertAlign val="subscript"/>
        <sz val="12"/>
        <color theme="8" tint="-0.499984740745262"/>
        <rFont val="Calibri"/>
        <family val="2"/>
        <scheme val="minor"/>
      </rPr>
      <t>flue gas</t>
    </r>
    <r>
      <rPr>
        <sz val="12"/>
        <color theme="8" tint="-0.499984740745262"/>
        <rFont val="Calibri"/>
        <family val="2"/>
        <scheme val="minor"/>
      </rPr>
      <t xml:space="preserve">), please enter "UNK" and these values will be calculated for you. As noted in step 1 above, some of the highlighted cells are pre-populated with default values based on 2014 data. Users should document the source of all values entered in accordance with what is recommended in the Control Cost Manual, and the use of actual values other than the default values in this spreadsheet, if appropriately documented, is acceptable. You may also adjust the maintenance and administrative charges cost factors (cells highlighted in blue) from their default values of 0.005 and 0.03, respectively. The default values for these two factors were developed for the CAMD Integrated Planning Model (IPM). If you elect to adjust these factors, you must document why the alternative values used are appropriate.   </t>
    </r>
  </si>
  <si>
    <r>
      <rPr>
        <b/>
        <u/>
        <sz val="12"/>
        <color theme="8" tint="-0.499984740745262"/>
        <rFont val="Calibri"/>
        <family val="2"/>
        <scheme val="minor"/>
      </rPr>
      <t>Step 5</t>
    </r>
    <r>
      <rPr>
        <sz val="12"/>
        <color theme="8" tint="-0.499984740745262"/>
        <rFont val="Calibri"/>
        <family val="2"/>
        <scheme val="minor"/>
      </rPr>
      <t xml:space="preserve">: Once all of the data fields are complete, select the </t>
    </r>
    <r>
      <rPr>
        <b/>
        <i/>
        <sz val="12"/>
        <color theme="8" tint="-0.499984740745262"/>
        <rFont val="Calibri"/>
        <family val="2"/>
        <scheme val="minor"/>
      </rPr>
      <t xml:space="preserve">SCR Design Parameters </t>
    </r>
    <r>
      <rPr>
        <sz val="12"/>
        <color theme="8" tint="-0.499984740745262"/>
        <rFont val="Calibri"/>
        <family val="2"/>
        <scheme val="minor"/>
      </rPr>
      <t xml:space="preserve">tab to see the calculated design parameters and the </t>
    </r>
    <r>
      <rPr>
        <b/>
        <i/>
        <sz val="12"/>
        <color theme="8" tint="-0.499984740745262"/>
        <rFont val="Calibri"/>
        <family val="2"/>
        <scheme val="minor"/>
      </rPr>
      <t>Cost Estimate</t>
    </r>
    <r>
      <rPr>
        <sz val="12"/>
        <color theme="8" tint="-0.499984740745262"/>
        <rFont val="Calibri"/>
        <family val="2"/>
        <scheme val="minor"/>
      </rPr>
      <t xml:space="preserve"> tab to view the calculated cost data for the installation and operation of the SCR. </t>
    </r>
  </si>
  <si>
    <t>Data Inputs</t>
  </si>
  <si>
    <t>Enter the following data for your combustion unit:</t>
  </si>
  <si>
    <t>Is the combustion unit a utility or industrial boiler?</t>
  </si>
  <si>
    <t>What type of fuel does the unit burn?</t>
  </si>
  <si>
    <t>Is the SCR for a new boiler or retrofit of an existing boiler?</t>
  </si>
  <si>
    <t xml:space="preserve"> </t>
  </si>
  <si>
    <t>Complete all of the highlighted data fields:</t>
  </si>
  <si>
    <t>Utility</t>
  </si>
  <si>
    <t>New Construction</t>
  </si>
  <si>
    <t>Provide the following information for coal-fired boilers:</t>
  </si>
  <si>
    <t>Industrial</t>
  </si>
  <si>
    <t>Retrofit</t>
  </si>
  <si>
    <t>What is the MW rating at full load capacity (Bmw)?</t>
  </si>
  <si>
    <t>MW</t>
  </si>
  <si>
    <t>Type of coal burned:</t>
  </si>
  <si>
    <t xml:space="preserve">SO2 Emission Rate (lbs SO2/MMBtu) = </t>
  </si>
  <si>
    <t>Bituminous</t>
  </si>
  <si>
    <t>SO2 Emission Rate</t>
  </si>
  <si>
    <t>What is the higher heating value (HHV) of the fuel?</t>
  </si>
  <si>
    <t>Btu/lb</t>
  </si>
  <si>
    <t>Enter the sulfur content (%S) =</t>
  </si>
  <si>
    <t>percent by weight</t>
  </si>
  <si>
    <t>Sub-Bituminous</t>
  </si>
  <si>
    <t>Lignite</t>
  </si>
  <si>
    <t>What is the estimated actual annual MWhs output?</t>
  </si>
  <si>
    <t>MWhs</t>
  </si>
  <si>
    <t>Coal blend</t>
  </si>
  <si>
    <t>For units burning coal blends:</t>
  </si>
  <si>
    <t>Not Applicable</t>
  </si>
  <si>
    <t xml:space="preserve">Note: The table below is pre-populated with default values for HHV and  %S. Please enter the actual  values for these parameters in the table below. If the actual value for any parameter is not known, you may use the default values provided.   </t>
  </si>
  <si>
    <t>Coal</t>
  </si>
  <si>
    <t>Enter the net plant heat input rate (NPHR)</t>
  </si>
  <si>
    <t>MMBtu/MW</t>
  </si>
  <si>
    <t>Fuel Oil</t>
  </si>
  <si>
    <t>Coal Type</t>
  </si>
  <si>
    <t>Fraction in Coal Blend</t>
  </si>
  <si>
    <t>%S</t>
  </si>
  <si>
    <t>HHV (Btu/lb)</t>
  </si>
  <si>
    <t>Natural Gas</t>
  </si>
  <si>
    <t xml:space="preserve">If the NPHR is not known, use the default NPHR value:  </t>
  </si>
  <si>
    <t>Fuel Type</t>
  </si>
  <si>
    <t>Default NPHR</t>
  </si>
  <si>
    <t>10 MMBtu/MW</t>
  </si>
  <si>
    <t>11 MMBtu/MW</t>
  </si>
  <si>
    <t>8.2 MMBtu/MW</t>
  </si>
  <si>
    <t xml:space="preserve">Please click the calculate button to calculate weighted average values based on the data in the table above.  </t>
  </si>
  <si>
    <t xml:space="preserve">Plant Elevation  </t>
  </si>
  <si>
    <t>Feet above sea level</t>
  </si>
  <si>
    <r>
      <t xml:space="preserve">For coal-fired boilers, you may use either Method 1 or Method 2 to calculate the catalyst replacement cost.  The equations for both methods are shown on rows 85 and 86 on the </t>
    </r>
    <r>
      <rPr>
        <b/>
        <i/>
        <sz val="12"/>
        <rFont val="Calibri"/>
        <family val="2"/>
        <scheme val="minor"/>
      </rPr>
      <t>Cost Estimate</t>
    </r>
    <r>
      <rPr>
        <sz val="12"/>
        <rFont val="Calibri"/>
        <family val="2"/>
        <scheme val="minor"/>
      </rPr>
      <t xml:space="preserve"> tab. Please select your preferred method: </t>
    </r>
  </si>
  <si>
    <t>Enter the following design parameters for the proposed SCR:</t>
  </si>
  <si>
    <r>
      <t>Number of days the SCR operates (t</t>
    </r>
    <r>
      <rPr>
        <vertAlign val="subscript"/>
        <sz val="11"/>
        <color theme="1"/>
        <rFont val="Calibri"/>
        <family val="2"/>
        <scheme val="minor"/>
      </rPr>
      <t>SCR</t>
    </r>
    <r>
      <rPr>
        <sz val="11"/>
        <color theme="1"/>
        <rFont val="Calibri"/>
        <family val="2"/>
        <scheme val="minor"/>
      </rPr>
      <t>)</t>
    </r>
  </si>
  <si>
    <t>days</t>
  </si>
  <si>
    <r>
      <t>Number of SCR reactor chambers (n</t>
    </r>
    <r>
      <rPr>
        <vertAlign val="subscript"/>
        <sz val="11"/>
        <color theme="1"/>
        <rFont val="Calibri"/>
        <family val="2"/>
        <scheme val="minor"/>
      </rPr>
      <t>scr</t>
    </r>
    <r>
      <rPr>
        <sz val="11"/>
        <color theme="1"/>
        <rFont val="Calibri"/>
        <family val="2"/>
        <scheme val="minor"/>
      </rPr>
      <t>)</t>
    </r>
  </si>
  <si>
    <r>
      <t>Number of days the boiler operates (t</t>
    </r>
    <r>
      <rPr>
        <vertAlign val="subscript"/>
        <sz val="11"/>
        <color theme="1"/>
        <rFont val="Calibri"/>
        <family val="2"/>
        <scheme val="minor"/>
      </rPr>
      <t>plant</t>
    </r>
    <r>
      <rPr>
        <sz val="11"/>
        <color theme="1"/>
        <rFont val="Calibri"/>
        <family val="2"/>
        <scheme val="minor"/>
      </rPr>
      <t>)</t>
    </r>
  </si>
  <si>
    <r>
      <t>Number of catalyst layers (R</t>
    </r>
    <r>
      <rPr>
        <vertAlign val="subscript"/>
        <sz val="11"/>
        <color theme="1"/>
        <rFont val="Calibri"/>
        <family val="2"/>
        <scheme val="minor"/>
      </rPr>
      <t>layer</t>
    </r>
    <r>
      <rPr>
        <sz val="11"/>
        <color theme="1"/>
        <rFont val="Calibri"/>
        <family val="2"/>
        <scheme val="minor"/>
      </rPr>
      <t>)</t>
    </r>
  </si>
  <si>
    <r>
      <t>Inlet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in</t>
    </r>
    <r>
      <rPr>
        <sz val="11"/>
        <color theme="1"/>
        <rFont val="Calibri"/>
        <family val="2"/>
        <scheme val="minor"/>
      </rPr>
      <t>) to SCR</t>
    </r>
  </si>
  <si>
    <t>lb/MMBtu</t>
  </si>
  <si>
    <r>
      <t>Number of empty catalyst layers (R</t>
    </r>
    <r>
      <rPr>
        <vertAlign val="subscript"/>
        <sz val="11"/>
        <color theme="1"/>
        <rFont val="Calibri"/>
        <family val="2"/>
        <scheme val="minor"/>
      </rPr>
      <t>empty</t>
    </r>
    <r>
      <rPr>
        <sz val="11"/>
        <color theme="1"/>
        <rFont val="Calibri"/>
        <family val="2"/>
        <scheme val="minor"/>
      </rPr>
      <t>)</t>
    </r>
  </si>
  <si>
    <r>
      <t>Outlet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out</t>
    </r>
    <r>
      <rPr>
        <sz val="11"/>
        <color theme="1"/>
        <rFont val="Calibri"/>
        <family val="2"/>
        <scheme val="minor"/>
      </rPr>
      <t>) from SCR</t>
    </r>
  </si>
  <si>
    <t>Ammonia Slip (Slip) provided by vendor</t>
  </si>
  <si>
    <t>ppm</t>
  </si>
  <si>
    <t>Stoichiometric Ratio Factor (SRF)</t>
  </si>
  <si>
    <r>
      <t>Volume of the catalyst layers (Vol</t>
    </r>
    <r>
      <rPr>
        <vertAlign val="subscript"/>
        <sz val="11"/>
        <color theme="1"/>
        <rFont val="Calibri"/>
        <family val="2"/>
        <scheme val="minor"/>
      </rPr>
      <t>catalyst</t>
    </r>
    <r>
      <rPr>
        <sz val="11"/>
        <color theme="1"/>
        <rFont val="Calibri"/>
        <family val="2"/>
        <scheme val="minor"/>
      </rPr>
      <t xml:space="preserve">)                         (Enter "UNK" if value is not known) </t>
    </r>
  </si>
  <si>
    <t>UNK</t>
  </si>
  <si>
    <t>Cubic feet</t>
  </si>
  <si>
    <r>
      <t>Flue gas flow rate (Q</t>
    </r>
    <r>
      <rPr>
        <vertAlign val="subscript"/>
        <sz val="11"/>
        <color theme="1"/>
        <rFont val="Calibri"/>
        <family val="2"/>
        <scheme val="minor"/>
      </rPr>
      <t>fluegas</t>
    </r>
    <r>
      <rPr>
        <sz val="11"/>
        <color theme="1"/>
        <rFont val="Calibri"/>
        <family val="2"/>
        <scheme val="minor"/>
      </rPr>
      <t xml:space="preserve">)                                              (Enter "UNK" if value is not known) </t>
    </r>
  </si>
  <si>
    <t>acfm</t>
  </si>
  <si>
    <r>
      <t>Estimated operating life of the catalyst (H</t>
    </r>
    <r>
      <rPr>
        <vertAlign val="subscript"/>
        <sz val="11"/>
        <color theme="1"/>
        <rFont val="Calibri"/>
        <family val="2"/>
        <scheme val="minor"/>
      </rPr>
      <t>catalyst</t>
    </r>
    <r>
      <rPr>
        <sz val="11"/>
        <color theme="1"/>
        <rFont val="Calibri"/>
        <family val="2"/>
        <scheme val="minor"/>
      </rPr>
      <t>)</t>
    </r>
  </si>
  <si>
    <t>Estimated SCR equipment life</t>
  </si>
  <si>
    <t>Years*</t>
  </si>
  <si>
    <t>Gas temperature at the SCR inlet (T)</t>
  </si>
  <si>
    <r>
      <rPr>
        <vertAlign val="superscript"/>
        <sz val="11"/>
        <rFont val="Calibri"/>
        <family val="2"/>
        <scheme val="minor"/>
      </rPr>
      <t>o</t>
    </r>
    <r>
      <rPr>
        <sz val="11"/>
        <rFont val="Calibri"/>
        <family val="2"/>
        <scheme val="minor"/>
      </rPr>
      <t>F</t>
    </r>
  </si>
  <si>
    <r>
      <t>Base case fuel gas volumetric flow rate factor (Q</t>
    </r>
    <r>
      <rPr>
        <vertAlign val="subscript"/>
        <sz val="11"/>
        <color theme="1"/>
        <rFont val="Calibri"/>
        <family val="2"/>
        <scheme val="minor"/>
      </rPr>
      <t>fuel</t>
    </r>
    <r>
      <rPr>
        <sz val="11"/>
        <color theme="1"/>
        <rFont val="Calibri"/>
        <family val="2"/>
        <scheme val="minor"/>
      </rPr>
      <t>)</t>
    </r>
  </si>
  <si>
    <r>
      <t>ft</t>
    </r>
    <r>
      <rPr>
        <vertAlign val="superscript"/>
        <sz val="11"/>
        <rFont val="Calibri"/>
        <family val="2"/>
        <scheme val="minor"/>
      </rPr>
      <t>3</t>
    </r>
    <r>
      <rPr>
        <sz val="11"/>
        <rFont val="Calibri"/>
        <family val="2"/>
        <scheme val="minor"/>
      </rPr>
      <t>/min-MMBtu/hour</t>
    </r>
  </si>
  <si>
    <r>
      <t>Concentration of reagent as stored (C</t>
    </r>
    <r>
      <rPr>
        <vertAlign val="subscript"/>
        <sz val="11"/>
        <color theme="1"/>
        <rFont val="Calibri"/>
        <family val="2"/>
        <scheme val="minor"/>
      </rPr>
      <t>stored</t>
    </r>
    <r>
      <rPr>
        <sz val="11"/>
        <color theme="1"/>
        <rFont val="Calibri"/>
        <family val="2"/>
        <scheme val="minor"/>
      </rPr>
      <t>)</t>
    </r>
  </si>
  <si>
    <r>
      <t>Density of reagent as stored (</t>
    </r>
    <r>
      <rPr>
        <sz val="11"/>
        <color theme="1"/>
        <rFont val="Calibri"/>
        <family val="2"/>
      </rPr>
      <t>ρ</t>
    </r>
    <r>
      <rPr>
        <vertAlign val="subscript"/>
        <sz val="11"/>
        <color theme="1"/>
        <rFont val="Calibri"/>
        <family val="2"/>
      </rPr>
      <t>stored</t>
    </r>
    <r>
      <rPr>
        <sz val="11"/>
        <color theme="1"/>
        <rFont val="Calibri"/>
        <family val="2"/>
      </rPr>
      <t>)</t>
    </r>
  </si>
  <si>
    <r>
      <t>Number of days reagent is stored (t</t>
    </r>
    <r>
      <rPr>
        <vertAlign val="subscript"/>
        <sz val="11"/>
        <color theme="1"/>
        <rFont val="Calibri"/>
        <family val="2"/>
        <scheme val="minor"/>
      </rPr>
      <t>storage</t>
    </r>
    <r>
      <rPr>
        <sz val="11"/>
        <color theme="1"/>
        <rFont val="Calibri"/>
        <family val="2"/>
        <scheme val="minor"/>
      </rPr>
      <t>)</t>
    </r>
  </si>
  <si>
    <t xml:space="preserve">Densities of typical SCR reagents: </t>
  </si>
  <si>
    <t>50% urea solution</t>
  </si>
  <si>
    <r>
      <t>lbs/ft</t>
    </r>
    <r>
      <rPr>
        <vertAlign val="superscript"/>
        <sz val="11"/>
        <color theme="1"/>
        <rFont val="Calibri"/>
        <family val="2"/>
        <scheme val="minor"/>
      </rPr>
      <t>3</t>
    </r>
  </si>
  <si>
    <r>
      <t>29.4% aqueous NH</t>
    </r>
    <r>
      <rPr>
        <vertAlign val="subscript"/>
        <sz val="11"/>
        <color theme="1"/>
        <rFont val="Calibri"/>
        <family val="2"/>
        <scheme val="minor"/>
      </rPr>
      <t>3</t>
    </r>
  </si>
  <si>
    <t>Ammonia</t>
  </si>
  <si>
    <t>Urea</t>
  </si>
  <si>
    <t>Select the reagent used</t>
  </si>
  <si>
    <t>Enter the cost data for the proposed SCR:</t>
  </si>
  <si>
    <t>Desired dollar-year</t>
  </si>
  <si>
    <t>2016 CEPCI</t>
  </si>
  <si>
    <t>CEPCI = Chemical Engineering Plant Cost Index</t>
  </si>
  <si>
    <t>Annual Interest Rate (i)</t>
  </si>
  <si>
    <r>
      <t>Reagent (Cost</t>
    </r>
    <r>
      <rPr>
        <vertAlign val="subscript"/>
        <sz val="11"/>
        <color theme="1"/>
        <rFont val="Calibri"/>
        <family val="2"/>
        <scheme val="minor"/>
      </rPr>
      <t>reag</t>
    </r>
    <r>
      <rPr>
        <sz val="11"/>
        <color theme="1"/>
        <rFont val="Calibri"/>
        <family val="2"/>
        <scheme val="minor"/>
      </rPr>
      <t>)</t>
    </r>
  </si>
  <si>
    <r>
      <t>Electricity (Cost</t>
    </r>
    <r>
      <rPr>
        <vertAlign val="subscript"/>
        <sz val="11"/>
        <color theme="1"/>
        <rFont val="Calibri"/>
        <family val="2"/>
        <scheme val="minor"/>
      </rPr>
      <t>elect</t>
    </r>
    <r>
      <rPr>
        <sz val="11"/>
        <color theme="1"/>
        <rFont val="Calibri"/>
        <family val="2"/>
        <scheme val="minor"/>
      </rPr>
      <t>)</t>
    </r>
  </si>
  <si>
    <r>
      <t xml:space="preserve">Catalyst cost (CC </t>
    </r>
    <r>
      <rPr>
        <vertAlign val="subscript"/>
        <sz val="11"/>
        <color theme="1"/>
        <rFont val="Calibri"/>
        <family val="2"/>
        <scheme val="minor"/>
      </rPr>
      <t>replace</t>
    </r>
    <r>
      <rPr>
        <sz val="11"/>
        <color theme="1"/>
        <rFont val="Calibri"/>
        <family val="2"/>
        <scheme val="minor"/>
      </rPr>
      <t>)</t>
    </r>
  </si>
  <si>
    <t>Operator Labor Rate</t>
  </si>
  <si>
    <t>Operator Hours/Day</t>
  </si>
  <si>
    <t>Note:  The use of CEPCI in this spreadsheet is not an endorsement of the index, but is there merely to allow for availability of a well-known cost index to spreadsheet users. Use of other well-known cost indexes (e.g., M&amp;S) is acceptable.</t>
  </si>
  <si>
    <t>Maintenance and Administrative Charges Cost Factors:</t>
  </si>
  <si>
    <t>Maintenance Cost Factor (MCF) =</t>
  </si>
  <si>
    <t>Administrative Charges Factor (ACF) =</t>
  </si>
  <si>
    <t xml:space="preserve">Data Sources for Default Values Used in Calculations: </t>
  </si>
  <si>
    <t>Data Element</t>
  </si>
  <si>
    <t>Default Value</t>
  </si>
  <si>
    <t>Sources for Default Value</t>
  </si>
  <si>
    <t xml:space="preserve">If you used your own site-specific values, please enter the  value used and the reference  source . . . </t>
  </si>
  <si>
    <t>Recommended data sources for site-specific information</t>
  </si>
  <si>
    <t>Reagent Cost ($/gallon)</t>
  </si>
  <si>
    <t>$0.293/gallon 29% ammonia solution 'ammonia cost for 29% solution</t>
  </si>
  <si>
    <t>U.S. Geological Survey, Minerals Commodity Summaries, January 2017 (https://minerals.usgs.gov/minerals/pubs/commodity/nitrogen/mcs-2017-nitro.pdf</t>
  </si>
  <si>
    <t xml:space="preserve">Check with reagent vendors for current prices. </t>
  </si>
  <si>
    <t>Electricity Cost ($/kWh)</t>
  </si>
  <si>
    <t>U.S. Energy Information Administration. Electric Power Annual 2016.  Table 8.4.  Published December 2017. Available at: https://www.eia.gov/electricity/annual/pdf/epa.pdf.</t>
  </si>
  <si>
    <t>Plant's utility bill or use U.S. Energy Information Administration (EIA) data for most recent year. Available at https://www.eia.gov/electricity/monthly/epm_table_grapher.php?t=epmt_5_6_a.</t>
  </si>
  <si>
    <t>Percent sulfur content for Coal (% weight)</t>
  </si>
  <si>
    <t>Average sulfur content based on U.S. coal data for 2016 compiled by the U.S. Energy Information Administration (EIA) from data reported on EIA Form EIA-923, Power Plant Operations Report. Available at http://www.eia.gov/electricity/data/eia923/.</t>
  </si>
  <si>
    <t>Check with fuel supplier or use  U.S. Energy Information Administration (EIA) data for most recent year." Available at http://www.eia.gov/electricity/data/eia923/.</t>
  </si>
  <si>
    <t>Higher Heating Value (HHV) (Btu/lb)</t>
  </si>
  <si>
    <t>2016 coal data compiled by the Office of Oil, Gas, and Coal Supply Statistics, U.S. Energy Information Administration (EIA) from data reported on EIA Form EIA-923, Power Plant Operations Report. Available at http://www.eia.gov/electricity/data/eia923/.</t>
  </si>
  <si>
    <t>Fuel supplier or use  U.S. Energy Information Administration (EIA) data for most recent year." Available at http://www.eia.gov/electricity/data/eia923/.</t>
  </si>
  <si>
    <t>Catalyst Cost ($/cubic foot)</t>
  </si>
  <si>
    <t>U.S. Environmental Protection Agency (EPA). Documentation for EPA’s Power Sector Modeling Platform v6 Using the Integrated Planning Model. Office of  Air and Radiation. May 2018. Available at:  https://www.epa.gov/airmarkets/documentation-epas-power-sector-modeling-platform-v6.</t>
  </si>
  <si>
    <t xml:space="preserve">Check with vendors for current prices. </t>
  </si>
  <si>
    <t>Operator Labor Rate ($/hour)</t>
  </si>
  <si>
    <t>Use payroll data, if available, or check current edition of the Bureau of Labor Statistics, National Occupational Employment and Wage Estimates – United States (https://www.bls.gov/oes/current/oes_nat.htm).</t>
  </si>
  <si>
    <t>Interest Rate (Percent)</t>
  </si>
  <si>
    <t>Default bank prime rate</t>
  </si>
  <si>
    <t xml:space="preserve">Use known interest rate or use bank prime rate, available at https://www.federalreserve.gov/releases/h15/. </t>
  </si>
  <si>
    <t>SCR Design Parameters</t>
  </si>
  <si>
    <r>
      <t xml:space="preserve">The following design parameters for the SCR were calculated based on the values entered on the </t>
    </r>
    <r>
      <rPr>
        <b/>
        <i/>
        <sz val="12"/>
        <color theme="8" tint="-0.249977111117893"/>
        <rFont val="Calibri"/>
        <family val="2"/>
        <scheme val="minor"/>
      </rPr>
      <t xml:space="preserve">Data Inputs </t>
    </r>
    <r>
      <rPr>
        <b/>
        <sz val="12"/>
        <color theme="8" tint="-0.249977111117893"/>
        <rFont val="Calibri"/>
        <family val="2"/>
        <scheme val="minor"/>
      </rPr>
      <t xml:space="preserve">tab. These values were used to prepare the costs shown on the </t>
    </r>
    <r>
      <rPr>
        <b/>
        <i/>
        <sz val="12"/>
        <color theme="8" tint="-0.249977111117893"/>
        <rFont val="Calibri"/>
        <family val="2"/>
        <scheme val="minor"/>
      </rPr>
      <t>Cost Estimate</t>
    </r>
    <r>
      <rPr>
        <b/>
        <sz val="12"/>
        <color theme="8" tint="-0.249977111117893"/>
        <rFont val="Calibri"/>
        <family val="2"/>
        <scheme val="minor"/>
      </rPr>
      <t xml:space="preserve"> tab.</t>
    </r>
  </si>
  <si>
    <t>Parameter</t>
  </si>
  <si>
    <t>Equation</t>
  </si>
  <si>
    <t>Calculated Value</t>
  </si>
  <si>
    <t>Units</t>
  </si>
  <si>
    <r>
      <t>Maximum Annual Heat Input Rate (Q</t>
    </r>
    <r>
      <rPr>
        <vertAlign val="subscript"/>
        <sz val="12"/>
        <color theme="1"/>
        <rFont val="Calibri"/>
        <family val="2"/>
        <scheme val="minor"/>
      </rPr>
      <t>B</t>
    </r>
    <r>
      <rPr>
        <sz val="12"/>
        <color theme="1"/>
        <rFont val="Calibri"/>
        <family val="2"/>
        <scheme val="minor"/>
      </rPr>
      <t xml:space="preserve">) = </t>
    </r>
  </si>
  <si>
    <t>MMBtu/hour</t>
  </si>
  <si>
    <t>Heat Rate Factor (HRF) =</t>
  </si>
  <si>
    <t>NPHR/10 =</t>
  </si>
  <si>
    <r>
      <t>Total System Capacity Factor (CF</t>
    </r>
    <r>
      <rPr>
        <vertAlign val="subscript"/>
        <sz val="12"/>
        <color theme="1"/>
        <rFont val="Calibri"/>
        <family val="2"/>
        <scheme val="minor"/>
      </rPr>
      <t>total</t>
    </r>
    <r>
      <rPr>
        <sz val="12"/>
        <color theme="1"/>
        <rFont val="Calibri"/>
        <family val="2"/>
        <scheme val="minor"/>
      </rPr>
      <t>) =</t>
    </r>
  </si>
  <si>
    <t>fraction</t>
  </si>
  <si>
    <r>
      <t>Total operating time for the SCR (t</t>
    </r>
    <r>
      <rPr>
        <vertAlign val="subscript"/>
        <sz val="12"/>
        <color theme="1"/>
        <rFont val="Calibri"/>
        <family val="2"/>
        <scheme val="minor"/>
      </rPr>
      <t>op</t>
    </r>
    <r>
      <rPr>
        <sz val="12"/>
        <color theme="1"/>
        <rFont val="Calibri"/>
        <family val="2"/>
        <scheme val="minor"/>
      </rPr>
      <t>) =</t>
    </r>
  </si>
  <si>
    <r>
      <t>CF</t>
    </r>
    <r>
      <rPr>
        <vertAlign val="subscript"/>
        <sz val="12"/>
        <color theme="1"/>
        <rFont val="Calibri"/>
        <family val="2"/>
        <scheme val="minor"/>
      </rPr>
      <t>total</t>
    </r>
    <r>
      <rPr>
        <sz val="12"/>
        <color theme="1"/>
        <rFont val="Calibri"/>
        <family val="2"/>
        <scheme val="minor"/>
      </rPr>
      <t xml:space="preserve"> x 8760 =</t>
    </r>
  </si>
  <si>
    <t>hours</t>
  </si>
  <si>
    <t>NOx Removal Efficiency (EF) =</t>
  </si>
  <si>
    <r>
      <t>(NOx</t>
    </r>
    <r>
      <rPr>
        <vertAlign val="subscript"/>
        <sz val="12"/>
        <color theme="1"/>
        <rFont val="Calibri"/>
        <family val="2"/>
        <scheme val="minor"/>
      </rPr>
      <t>in</t>
    </r>
    <r>
      <rPr>
        <sz val="12"/>
        <color theme="1"/>
        <rFont val="Calibri"/>
        <family val="2"/>
        <scheme val="minor"/>
      </rPr>
      <t xml:space="preserve"> - NOx</t>
    </r>
    <r>
      <rPr>
        <vertAlign val="subscript"/>
        <sz val="12"/>
        <color theme="1"/>
        <rFont val="Calibri"/>
        <family val="2"/>
        <scheme val="minor"/>
      </rPr>
      <t>out</t>
    </r>
    <r>
      <rPr>
        <sz val="12"/>
        <color theme="1"/>
        <rFont val="Calibri"/>
        <family val="2"/>
        <scheme val="minor"/>
      </rPr>
      <t>)/NOx</t>
    </r>
    <r>
      <rPr>
        <vertAlign val="subscript"/>
        <sz val="12"/>
        <color theme="1"/>
        <rFont val="Calibri"/>
        <family val="2"/>
        <scheme val="minor"/>
      </rPr>
      <t>in</t>
    </r>
    <r>
      <rPr>
        <sz val="12"/>
        <color theme="1"/>
        <rFont val="Calibri"/>
        <family val="2"/>
        <scheme val="minor"/>
      </rPr>
      <t xml:space="preserve"> =</t>
    </r>
  </si>
  <si>
    <t>percent</t>
  </si>
  <si>
    <t>NOx removed per hour =</t>
  </si>
  <si>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t>
    </r>
    <r>
      <rPr>
        <sz val="12"/>
        <color theme="1"/>
        <rFont val="Calibri"/>
        <family val="2"/>
        <scheme val="minor"/>
      </rPr>
      <t xml:space="preserve"> =</t>
    </r>
  </si>
  <si>
    <t>lb/hour</t>
  </si>
  <si>
    <r>
      <t>Total NO</t>
    </r>
    <r>
      <rPr>
        <vertAlign val="subscript"/>
        <sz val="12"/>
        <color theme="1"/>
        <rFont val="Calibri"/>
        <family val="2"/>
        <scheme val="minor"/>
      </rPr>
      <t>x</t>
    </r>
    <r>
      <rPr>
        <sz val="12"/>
        <color theme="1"/>
        <rFont val="Calibri"/>
        <family val="2"/>
        <scheme val="minor"/>
      </rPr>
      <t xml:space="preserve"> removed per year =</t>
    </r>
  </si>
  <si>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)/2000</t>
    </r>
    <r>
      <rPr>
        <sz val="12"/>
        <color theme="1"/>
        <rFont val="Calibri"/>
        <family val="2"/>
        <scheme val="minor"/>
      </rPr>
      <t xml:space="preserve"> =</t>
    </r>
  </si>
  <si>
    <t>tons/year</t>
  </si>
  <si>
    <r>
      <t>NO</t>
    </r>
    <r>
      <rPr>
        <vertAlign val="subscript"/>
        <sz val="12"/>
        <color theme="1"/>
        <rFont val="Calibri"/>
        <family val="2"/>
        <scheme val="minor"/>
      </rPr>
      <t>x</t>
    </r>
    <r>
      <rPr>
        <sz val="12"/>
        <color theme="1"/>
        <rFont val="Calibri"/>
        <family val="2"/>
        <scheme val="minor"/>
      </rPr>
      <t xml:space="preserve"> removal factor (NRF) = </t>
    </r>
  </si>
  <si>
    <t>EF/80 =</t>
  </si>
  <si>
    <r>
      <t>Volumetric flue gas flow rate (q</t>
    </r>
    <r>
      <rPr>
        <vertAlign val="subscript"/>
        <sz val="12"/>
        <color theme="1"/>
        <rFont val="Calibri"/>
        <family val="2"/>
        <scheme val="minor"/>
      </rPr>
      <t>flue gas</t>
    </r>
    <r>
      <rPr>
        <sz val="12"/>
        <color theme="1"/>
        <rFont val="Calibri"/>
        <family val="2"/>
        <scheme val="minor"/>
      </rPr>
      <t>) =</t>
    </r>
  </si>
  <si>
    <r>
      <t>Q</t>
    </r>
    <r>
      <rPr>
        <vertAlign val="subscript"/>
        <sz val="12"/>
        <color theme="1"/>
        <rFont val="Calibri"/>
        <family val="2"/>
        <scheme val="minor"/>
      </rPr>
      <t>fuel</t>
    </r>
    <r>
      <rPr>
        <sz val="12"/>
        <color theme="1"/>
        <rFont val="Calibri"/>
        <family val="2"/>
        <scheme val="minor"/>
      </rPr>
      <t xml:space="preserve"> x QB x (460 + T)/(460 + 700)n</t>
    </r>
    <r>
      <rPr>
        <vertAlign val="subscript"/>
        <sz val="12"/>
        <color theme="1"/>
        <rFont val="Calibri"/>
        <family val="2"/>
        <scheme val="minor"/>
      </rPr>
      <t>scr</t>
    </r>
    <r>
      <rPr>
        <sz val="12"/>
        <color theme="1"/>
        <rFont val="Calibri"/>
        <family val="2"/>
        <scheme val="minor"/>
      </rPr>
      <t xml:space="preserve"> =</t>
    </r>
  </si>
  <si>
    <r>
      <t>Space velocity (V</t>
    </r>
    <r>
      <rPr>
        <vertAlign val="subscript"/>
        <sz val="12"/>
        <color theme="1"/>
        <rFont val="Calibri"/>
        <family val="2"/>
        <scheme val="minor"/>
      </rPr>
      <t>space</t>
    </r>
    <r>
      <rPr>
        <sz val="12"/>
        <color theme="1"/>
        <rFont val="Calibri"/>
        <family val="2"/>
        <scheme val="minor"/>
      </rPr>
      <t>) =</t>
    </r>
  </si>
  <si>
    <r>
      <t>q</t>
    </r>
    <r>
      <rPr>
        <vertAlign val="subscript"/>
        <sz val="12"/>
        <color theme="1"/>
        <rFont val="Calibri"/>
        <family val="2"/>
        <scheme val="minor"/>
      </rPr>
      <t>flue gas</t>
    </r>
    <r>
      <rPr>
        <sz val="12"/>
        <color theme="1"/>
        <rFont val="Calibri"/>
        <family val="2"/>
        <scheme val="minor"/>
      </rPr>
      <t>/Vol</t>
    </r>
    <r>
      <rPr>
        <vertAlign val="subscript"/>
        <sz val="12"/>
        <color theme="1"/>
        <rFont val="Calibri"/>
        <family val="2"/>
        <scheme val="minor"/>
      </rPr>
      <t xml:space="preserve">catalyst </t>
    </r>
    <r>
      <rPr>
        <sz val="12"/>
        <color theme="1"/>
        <rFont val="Calibri"/>
        <family val="2"/>
        <scheme val="minor"/>
      </rPr>
      <t>=</t>
    </r>
  </si>
  <si>
    <t>/hour</t>
  </si>
  <si>
    <t xml:space="preserve">Residence Time </t>
  </si>
  <si>
    <r>
      <t>1/V</t>
    </r>
    <r>
      <rPr>
        <vertAlign val="subscript"/>
        <sz val="12"/>
        <color theme="1"/>
        <rFont val="Calibri"/>
        <family val="2"/>
        <scheme val="minor"/>
      </rPr>
      <t>space</t>
    </r>
  </si>
  <si>
    <t>hour</t>
  </si>
  <si>
    <t>Coal Factor (CoalF) =</t>
  </si>
  <si>
    <t>1 for oil and natural gas; 1 for bituminous; 1.05 for sub-bituminous; 1.07 for lignite (weighted average is used for coal blends)</t>
  </si>
  <si>
    <t>CoalF for blended fuel</t>
  </si>
  <si>
    <r>
      <t>SO</t>
    </r>
    <r>
      <rPr>
        <vertAlign val="subscript"/>
        <sz val="12"/>
        <color theme="1"/>
        <rFont val="Calibri"/>
        <family val="2"/>
        <scheme val="minor"/>
      </rPr>
      <t>2</t>
    </r>
    <r>
      <rPr>
        <sz val="12"/>
        <color theme="1"/>
        <rFont val="Calibri"/>
        <family val="2"/>
        <scheme val="minor"/>
      </rPr>
      <t xml:space="preserve"> Emission rate =  </t>
    </r>
  </si>
  <si>
    <r>
      <t>(%S/100)x(64/32)*1x10</t>
    </r>
    <r>
      <rPr>
        <vertAlign val="superscript"/>
        <sz val="12"/>
        <color theme="1"/>
        <rFont val="Calibri"/>
        <family val="2"/>
        <scheme val="minor"/>
      </rPr>
      <t>6</t>
    </r>
    <r>
      <rPr>
        <sz val="12"/>
        <color theme="1"/>
        <rFont val="Calibri"/>
        <family val="2"/>
        <scheme val="minor"/>
      </rPr>
      <t>)/HHV =</t>
    </r>
  </si>
  <si>
    <t xml:space="preserve">Elevation Factor (ELEVF)  = </t>
  </si>
  <si>
    <t>14.7 psia/P =</t>
  </si>
  <si>
    <r>
      <t>2116 x [(59-(0.00356xh)+459.7)/518.6]</t>
    </r>
    <r>
      <rPr>
        <vertAlign val="superscript"/>
        <sz val="12"/>
        <color theme="1"/>
        <rFont val="Calibri"/>
        <family val="2"/>
        <scheme val="minor"/>
      </rPr>
      <t>5.256</t>
    </r>
    <r>
      <rPr>
        <sz val="12"/>
        <color theme="1"/>
        <rFont val="Calibri"/>
        <family val="2"/>
        <scheme val="minor"/>
      </rPr>
      <t xml:space="preserve"> x (1/144)* =</t>
    </r>
  </si>
  <si>
    <t>psia</t>
  </si>
  <si>
    <t>Retrofit Factor (RF)</t>
  </si>
  <si>
    <t xml:space="preserve">* Equation is from the National Aeronautics and Space Administration (NASA), Earth Atmosphere Model. Available at https://spaceflightsystems.grc.nasa.gov/education/rocket/atmos.html. </t>
  </si>
  <si>
    <t>Catalyst Data:</t>
  </si>
  <si>
    <t>EF adj</t>
  </si>
  <si>
    <t>Future worth factor (FWF) =</t>
  </si>
  <si>
    <r>
      <t>(interest rate)(1/((1+ interest rate)</t>
    </r>
    <r>
      <rPr>
        <vertAlign val="superscript"/>
        <sz val="11"/>
        <rFont val="Calibri"/>
        <family val="2"/>
        <scheme val="minor"/>
      </rPr>
      <t>Y</t>
    </r>
    <r>
      <rPr>
        <sz val="11"/>
        <rFont val="Calibri"/>
        <family val="2"/>
        <scheme val="minor"/>
      </rPr>
      <t xml:space="preserve"> -1)</t>
    </r>
    <r>
      <rPr>
        <vertAlign val="superscript"/>
        <sz val="11"/>
        <rFont val="Calibri"/>
        <family val="2"/>
        <scheme val="minor"/>
      </rPr>
      <t xml:space="preserve"> </t>
    </r>
    <r>
      <rPr>
        <sz val="11"/>
        <rFont val="Calibri"/>
        <family val="2"/>
        <scheme val="minor"/>
      </rPr>
      <t>, where Y = H</t>
    </r>
    <r>
      <rPr>
        <vertAlign val="subscript"/>
        <sz val="11"/>
        <rFont val="Calibri"/>
        <family val="2"/>
        <scheme val="minor"/>
      </rPr>
      <t>catalyts</t>
    </r>
    <r>
      <rPr>
        <sz val="11"/>
        <rFont val="Calibri"/>
        <family val="2"/>
        <scheme val="minor"/>
      </rPr>
      <t>/(t</t>
    </r>
    <r>
      <rPr>
        <vertAlign val="subscript"/>
        <sz val="11"/>
        <rFont val="Calibri"/>
        <family val="2"/>
        <scheme val="minor"/>
      </rPr>
      <t xml:space="preserve">SCR </t>
    </r>
    <r>
      <rPr>
        <sz val="11"/>
        <rFont val="Calibri"/>
        <family val="2"/>
        <scheme val="minor"/>
      </rPr>
      <t>x 24 hours) rounded to the nearest integer</t>
    </r>
  </si>
  <si>
    <t>Fraction</t>
  </si>
  <si>
    <t>Slipadj</t>
  </si>
  <si>
    <r>
      <t>Catalyst volume (Vol</t>
    </r>
    <r>
      <rPr>
        <vertAlign val="subscript"/>
        <sz val="11"/>
        <rFont val="Calibri"/>
        <family val="2"/>
        <scheme val="minor"/>
      </rPr>
      <t>catalyst</t>
    </r>
    <r>
      <rPr>
        <sz val="11"/>
        <rFont val="Calibri"/>
        <family val="2"/>
        <scheme val="minor"/>
      </rPr>
      <t>) =</t>
    </r>
  </si>
  <si>
    <r>
      <t>2.81 x Q</t>
    </r>
    <r>
      <rPr>
        <vertAlign val="subscript"/>
        <sz val="11"/>
        <rFont val="Calibri"/>
        <family val="2"/>
        <scheme val="minor"/>
      </rPr>
      <t>B</t>
    </r>
    <r>
      <rPr>
        <sz val="11"/>
        <rFont val="Calibri"/>
        <family val="2"/>
        <scheme val="minor"/>
      </rPr>
      <t xml:space="preserve"> x EF </t>
    </r>
    <r>
      <rPr>
        <vertAlign val="subscript"/>
        <sz val="11"/>
        <rFont val="Calibri"/>
        <family val="2"/>
        <scheme val="minor"/>
      </rPr>
      <t>adj</t>
    </r>
    <r>
      <rPr>
        <sz val="11"/>
        <rFont val="Calibri"/>
        <family val="2"/>
        <scheme val="minor"/>
      </rPr>
      <t xml:space="preserve"> x Slipadj x NOx</t>
    </r>
    <r>
      <rPr>
        <vertAlign val="subscript"/>
        <sz val="11"/>
        <rFont val="Calibri"/>
        <family val="2"/>
        <scheme val="minor"/>
      </rPr>
      <t>adj</t>
    </r>
    <r>
      <rPr>
        <sz val="11"/>
        <rFont val="Calibri"/>
        <family val="2"/>
        <scheme val="minor"/>
      </rPr>
      <t xml:space="preserve"> x S</t>
    </r>
    <r>
      <rPr>
        <vertAlign val="subscript"/>
        <sz val="11"/>
        <rFont val="Calibri"/>
        <family val="2"/>
        <scheme val="minor"/>
      </rPr>
      <t>adj</t>
    </r>
    <r>
      <rPr>
        <sz val="11"/>
        <rFont val="Calibri"/>
        <family val="2"/>
        <scheme val="minor"/>
      </rPr>
      <t xml:space="preserve"> x (T</t>
    </r>
    <r>
      <rPr>
        <vertAlign val="subscript"/>
        <sz val="11"/>
        <rFont val="Calibri"/>
        <family val="2"/>
        <scheme val="minor"/>
      </rPr>
      <t>adj</t>
    </r>
    <r>
      <rPr>
        <sz val="11"/>
        <rFont val="Calibri"/>
        <family val="2"/>
        <scheme val="minor"/>
      </rPr>
      <t>/N</t>
    </r>
    <r>
      <rPr>
        <vertAlign val="subscript"/>
        <sz val="11"/>
        <rFont val="Calibri"/>
        <family val="2"/>
        <scheme val="minor"/>
      </rPr>
      <t>scr</t>
    </r>
    <r>
      <rPr>
        <sz val="11"/>
        <rFont val="Calibri"/>
        <family val="2"/>
        <scheme val="minor"/>
      </rPr>
      <t>)</t>
    </r>
  </si>
  <si>
    <t>Noxadj</t>
  </si>
  <si>
    <r>
      <t>Cross sectional area of the catalyst (A</t>
    </r>
    <r>
      <rPr>
        <vertAlign val="subscript"/>
        <sz val="12"/>
        <rFont val="Calibri"/>
        <family val="2"/>
        <scheme val="minor"/>
      </rPr>
      <t>catalyst</t>
    </r>
    <r>
      <rPr>
        <sz val="12"/>
        <rFont val="Calibri"/>
        <family val="2"/>
        <scheme val="minor"/>
      </rPr>
      <t>) =</t>
    </r>
  </si>
  <si>
    <r>
      <t>q</t>
    </r>
    <r>
      <rPr>
        <vertAlign val="subscript"/>
        <sz val="12"/>
        <rFont val="Calibri"/>
        <family val="2"/>
        <scheme val="minor"/>
      </rPr>
      <t>flue gas</t>
    </r>
    <r>
      <rPr>
        <sz val="12"/>
        <rFont val="Calibri"/>
        <family val="2"/>
        <scheme val="minor"/>
      </rPr>
      <t xml:space="preserve"> /(16ft/sec x 60 sec/min)</t>
    </r>
  </si>
  <si>
    <r>
      <t>ft</t>
    </r>
    <r>
      <rPr>
        <vertAlign val="superscript"/>
        <sz val="12"/>
        <rFont val="Calibri"/>
        <family val="2"/>
        <scheme val="minor"/>
      </rPr>
      <t>2</t>
    </r>
  </si>
  <si>
    <t>Sadj</t>
  </si>
  <si>
    <r>
      <t>Height of each catalyst layer (H</t>
    </r>
    <r>
      <rPr>
        <vertAlign val="subscript"/>
        <sz val="12"/>
        <rFont val="Calibri"/>
        <family val="2"/>
        <scheme val="minor"/>
      </rPr>
      <t>layer</t>
    </r>
    <r>
      <rPr>
        <sz val="12"/>
        <rFont val="Calibri"/>
        <family val="2"/>
        <scheme val="minor"/>
      </rPr>
      <t xml:space="preserve">) = </t>
    </r>
  </si>
  <si>
    <r>
      <t>(Vol</t>
    </r>
    <r>
      <rPr>
        <vertAlign val="subscript"/>
        <sz val="12"/>
        <rFont val="Calibri"/>
        <family val="2"/>
        <scheme val="minor"/>
      </rPr>
      <t>catalyst</t>
    </r>
    <r>
      <rPr>
        <sz val="12"/>
        <rFont val="Calibri"/>
        <family val="2"/>
        <scheme val="minor"/>
      </rPr>
      <t>/(R</t>
    </r>
    <r>
      <rPr>
        <vertAlign val="subscript"/>
        <sz val="12"/>
        <rFont val="Calibri"/>
        <family val="2"/>
        <scheme val="minor"/>
      </rPr>
      <t>layer</t>
    </r>
    <r>
      <rPr>
        <sz val="12"/>
        <rFont val="Calibri"/>
        <family val="2"/>
        <scheme val="minor"/>
      </rPr>
      <t xml:space="preserve"> x A</t>
    </r>
    <r>
      <rPr>
        <vertAlign val="subscript"/>
        <sz val="12"/>
        <rFont val="Calibri"/>
        <family val="2"/>
        <scheme val="minor"/>
      </rPr>
      <t>catalyst</t>
    </r>
    <r>
      <rPr>
        <sz val="12"/>
        <rFont val="Calibri"/>
        <family val="2"/>
        <scheme val="minor"/>
      </rPr>
      <t>)) + 1 (rounded to next highest integer)</t>
    </r>
  </si>
  <si>
    <t>feet</t>
  </si>
  <si>
    <t>Tadj</t>
  </si>
  <si>
    <t>SCR Reactor Data:</t>
  </si>
  <si>
    <r>
      <t>Cross sectional area of the reactor (A</t>
    </r>
    <r>
      <rPr>
        <vertAlign val="subscript"/>
        <sz val="12"/>
        <rFont val="Calibri"/>
        <family val="2"/>
        <scheme val="minor"/>
      </rPr>
      <t>SCR</t>
    </r>
    <r>
      <rPr>
        <sz val="12"/>
        <rFont val="Calibri"/>
        <family val="2"/>
        <scheme val="minor"/>
      </rPr>
      <t xml:space="preserve">) = </t>
    </r>
  </si>
  <si>
    <r>
      <t>1.15 x A</t>
    </r>
    <r>
      <rPr>
        <vertAlign val="subscript"/>
        <sz val="12"/>
        <rFont val="Calibri"/>
        <family val="2"/>
        <scheme val="minor"/>
      </rPr>
      <t>catalyst</t>
    </r>
  </si>
  <si>
    <t xml:space="preserve">Reactor length and width dimensions for a square reactor = </t>
  </si>
  <si>
    <r>
      <t>(A</t>
    </r>
    <r>
      <rPr>
        <vertAlign val="subscript"/>
        <sz val="12"/>
        <rFont val="Calibri"/>
        <family val="2"/>
        <scheme val="minor"/>
      </rPr>
      <t>SCR</t>
    </r>
    <r>
      <rPr>
        <sz val="12"/>
        <rFont val="Calibri"/>
        <family val="2"/>
        <scheme val="minor"/>
      </rPr>
      <t>)</t>
    </r>
    <r>
      <rPr>
        <vertAlign val="superscript"/>
        <sz val="12"/>
        <rFont val="Calibri"/>
        <family val="2"/>
        <scheme val="minor"/>
      </rPr>
      <t>0.5</t>
    </r>
  </si>
  <si>
    <t>Reactor height =</t>
  </si>
  <si>
    <r>
      <t>(R</t>
    </r>
    <r>
      <rPr>
        <vertAlign val="subscript"/>
        <sz val="12"/>
        <rFont val="Calibri"/>
        <family val="2"/>
        <scheme val="minor"/>
      </rPr>
      <t>layer</t>
    </r>
    <r>
      <rPr>
        <sz val="12"/>
        <rFont val="Calibri"/>
        <family val="2"/>
        <scheme val="minor"/>
      </rPr>
      <t xml:space="preserve">  + R</t>
    </r>
    <r>
      <rPr>
        <vertAlign val="subscript"/>
        <sz val="12"/>
        <rFont val="Calibri"/>
        <family val="2"/>
        <scheme val="minor"/>
      </rPr>
      <t>empty</t>
    </r>
    <r>
      <rPr>
        <sz val="12"/>
        <rFont val="Calibri"/>
        <family val="2"/>
        <scheme val="minor"/>
      </rPr>
      <t>) x (7ft + h</t>
    </r>
    <r>
      <rPr>
        <vertAlign val="subscript"/>
        <sz val="12"/>
        <rFont val="Calibri"/>
        <family val="2"/>
        <scheme val="minor"/>
      </rPr>
      <t>layer</t>
    </r>
    <r>
      <rPr>
        <sz val="12"/>
        <rFont val="Calibri"/>
        <family val="2"/>
        <scheme val="minor"/>
      </rPr>
      <t>) + 9ft</t>
    </r>
  </si>
  <si>
    <t>Reagent Data:</t>
  </si>
  <si>
    <t>Type of reagent used</t>
  </si>
  <si>
    <t xml:space="preserve">Molecular Weight of Reagent (MW) = </t>
  </si>
  <si>
    <t>g/mole</t>
  </si>
  <si>
    <t>Density  =</t>
  </si>
  <si>
    <r>
      <t>lb/ft</t>
    </r>
    <r>
      <rPr>
        <vertAlign val="superscript"/>
        <sz val="12"/>
        <color theme="1"/>
        <rFont val="Calibri"/>
        <family val="2"/>
        <scheme val="minor"/>
      </rPr>
      <t>3</t>
    </r>
  </si>
  <si>
    <r>
      <t>Reagent consumption rate (m</t>
    </r>
    <r>
      <rPr>
        <vertAlign val="subscript"/>
        <sz val="12"/>
        <color theme="1"/>
        <rFont val="Calibri"/>
        <family val="2"/>
        <scheme val="minor"/>
      </rPr>
      <t>reagent</t>
    </r>
    <r>
      <rPr>
        <sz val="12"/>
        <color theme="1"/>
        <rFont val="Calibri"/>
        <family val="2"/>
        <scheme val="minor"/>
      </rPr>
      <t xml:space="preserve">) = </t>
    </r>
  </si>
  <si>
    <r>
      <t>(NOx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EF x SRF x MW</t>
    </r>
    <r>
      <rPr>
        <vertAlign val="subscript"/>
        <sz val="12"/>
        <color theme="1"/>
        <rFont val="Calibri"/>
        <family val="2"/>
        <scheme val="minor"/>
      </rPr>
      <t>R</t>
    </r>
    <r>
      <rPr>
        <sz val="12"/>
        <color theme="1"/>
        <rFont val="Calibri"/>
        <family val="2"/>
        <scheme val="minor"/>
      </rPr>
      <t>)/MW</t>
    </r>
    <r>
      <rPr>
        <vertAlign val="subscript"/>
        <sz val="12"/>
        <color theme="1"/>
        <rFont val="Calibri"/>
        <family val="2"/>
        <scheme val="minor"/>
      </rPr>
      <t>NOx</t>
    </r>
    <r>
      <rPr>
        <sz val="12"/>
        <color theme="1"/>
        <rFont val="Calibri"/>
        <family val="2"/>
        <scheme val="minor"/>
      </rPr>
      <t xml:space="preserve"> =</t>
    </r>
  </si>
  <si>
    <r>
      <t>Reagent Usage Rate (m</t>
    </r>
    <r>
      <rPr>
        <vertAlign val="subscript"/>
        <sz val="12"/>
        <color theme="1"/>
        <rFont val="Calibri"/>
        <family val="2"/>
        <scheme val="minor"/>
      </rPr>
      <t>sol</t>
    </r>
    <r>
      <rPr>
        <sz val="12"/>
        <color theme="1"/>
        <rFont val="Calibri"/>
        <family val="2"/>
        <scheme val="minor"/>
      </rPr>
      <t>) =</t>
    </r>
  </si>
  <si>
    <r>
      <t>m</t>
    </r>
    <r>
      <rPr>
        <vertAlign val="subscript"/>
        <sz val="12"/>
        <color theme="1"/>
        <rFont val="Calibri"/>
        <family val="2"/>
        <scheme val="minor"/>
      </rPr>
      <t>reagent</t>
    </r>
    <r>
      <rPr>
        <sz val="12"/>
        <color theme="1"/>
        <rFont val="Calibri"/>
        <family val="2"/>
        <scheme val="minor"/>
      </rPr>
      <t>/Csol =</t>
    </r>
  </si>
  <si>
    <r>
      <t>(m</t>
    </r>
    <r>
      <rPr>
        <vertAlign val="subscript"/>
        <sz val="12"/>
        <color theme="1"/>
        <rFont val="Calibri"/>
        <family val="2"/>
        <scheme val="minor"/>
      </rPr>
      <t>sol</t>
    </r>
    <r>
      <rPr>
        <sz val="12"/>
        <color theme="1"/>
        <rFont val="Calibri"/>
        <family val="2"/>
        <scheme val="minor"/>
      </rPr>
      <t xml:space="preserve"> x 7.4805)/Reagent Density</t>
    </r>
  </si>
  <si>
    <t>gal/hour</t>
  </si>
  <si>
    <t>Estimated tank volume for reagent storage =</t>
  </si>
  <si>
    <r>
      <t>(m</t>
    </r>
    <r>
      <rPr>
        <vertAlign val="subscript"/>
        <sz val="12"/>
        <color theme="1"/>
        <rFont val="Calibri"/>
        <family val="2"/>
        <scheme val="minor"/>
      </rPr>
      <t>sol</t>
    </r>
    <r>
      <rPr>
        <sz val="12"/>
        <color theme="1"/>
        <rFont val="Calibri"/>
        <family val="2"/>
        <scheme val="minor"/>
      </rPr>
      <t xml:space="preserve"> x 7.4805 x t</t>
    </r>
    <r>
      <rPr>
        <vertAlign val="subscript"/>
        <sz val="12"/>
        <color theme="1"/>
        <rFont val="Calibri"/>
        <family val="2"/>
        <scheme val="minor"/>
      </rPr>
      <t>storage</t>
    </r>
    <r>
      <rPr>
        <sz val="12"/>
        <color theme="1"/>
        <rFont val="Calibri"/>
        <family val="2"/>
        <scheme val="minor"/>
      </rPr>
      <t xml:space="preserve"> x 24)/Reagent Density =</t>
    </r>
  </si>
  <si>
    <t>Capital Recovery Factor:</t>
  </si>
  <si>
    <t xml:space="preserve">Capital Recovery Factor (CRF) = </t>
  </si>
  <si>
    <r>
      <t>i (1+ i)</t>
    </r>
    <r>
      <rPr>
        <vertAlign val="superscript"/>
        <sz val="12"/>
        <color theme="1"/>
        <rFont val="Calibri"/>
        <family val="2"/>
        <scheme val="minor"/>
      </rPr>
      <t>n</t>
    </r>
    <r>
      <rPr>
        <sz val="12"/>
        <color theme="1"/>
        <rFont val="Calibri"/>
        <family val="2"/>
        <scheme val="minor"/>
      </rPr>
      <t>/(1+ i)</t>
    </r>
    <r>
      <rPr>
        <vertAlign val="superscript"/>
        <sz val="12"/>
        <color theme="1"/>
        <rFont val="Calibri"/>
        <family val="2"/>
        <scheme val="minor"/>
      </rPr>
      <t>n</t>
    </r>
    <r>
      <rPr>
        <sz val="12"/>
        <color theme="1"/>
        <rFont val="Calibri"/>
        <family val="2"/>
        <scheme val="minor"/>
      </rPr>
      <t xml:space="preserve"> - 1 =</t>
    </r>
  </si>
  <si>
    <t>Where n = Equipment Life and i= Interest Rate</t>
  </si>
  <si>
    <t>Other parameters</t>
  </si>
  <si>
    <t>Electricity Usage:</t>
  </si>
  <si>
    <t xml:space="preserve">Electricity Consumption (P) = </t>
  </si>
  <si>
    <r>
      <t>A x 1,000 x 0.0056 x (CoalF x HRF)</t>
    </r>
    <r>
      <rPr>
        <vertAlign val="superscript"/>
        <sz val="12"/>
        <color theme="1"/>
        <rFont val="Calibri"/>
        <family val="2"/>
        <scheme val="minor"/>
      </rPr>
      <t>0.43</t>
    </r>
    <r>
      <rPr>
        <sz val="12"/>
        <color theme="1"/>
        <rFont val="Calibri"/>
        <family val="2"/>
        <scheme val="minor"/>
      </rPr>
      <t xml:space="preserve"> =</t>
    </r>
  </si>
  <si>
    <t>kW</t>
  </si>
  <si>
    <t>Cost Estimate</t>
  </si>
  <si>
    <t>Total Capital Investment (TCI)</t>
  </si>
  <si>
    <t>ELEVF</t>
  </si>
  <si>
    <t>TCI for Oil and Natural Gas Boilers</t>
  </si>
  <si>
    <t>For Oil and Natural Gas-Fired Utility Boilers between 25MW and 500 MW:</t>
  </si>
  <si>
    <t xml:space="preserve">New </t>
  </si>
  <si>
    <r>
      <t>TCI = 86,380 x (200/B</t>
    </r>
    <r>
      <rPr>
        <vertAlign val="subscript"/>
        <sz val="12"/>
        <color theme="1"/>
        <rFont val="Calibri"/>
        <family val="2"/>
        <scheme val="minor"/>
      </rPr>
      <t>MW</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ELEVF x RF</t>
    </r>
  </si>
  <si>
    <t>For Oil and Natural Gas-Fired Utility Boilers &gt;500 MW:</t>
  </si>
  <si>
    <r>
      <t>TCI = 62,680 x B</t>
    </r>
    <r>
      <rPr>
        <vertAlign val="subscript"/>
        <sz val="12"/>
        <color theme="1"/>
        <rFont val="Calibri"/>
        <family val="2"/>
        <scheme val="minor"/>
      </rPr>
      <t>MW</t>
    </r>
    <r>
      <rPr>
        <sz val="12"/>
        <color theme="1"/>
        <rFont val="Calibri"/>
        <family val="2"/>
        <scheme val="minor"/>
      </rPr>
      <t xml:space="preserve"> x ELEVF x RF</t>
    </r>
  </si>
  <si>
    <t>For Oil-Fired Industrial Boilers between 275 and 5,500 MMBTU/hour :</t>
  </si>
  <si>
    <r>
      <t>TCI = 7,850 x (2,200/Q</t>
    </r>
    <r>
      <rPr>
        <vertAlign val="subscript"/>
        <sz val="12"/>
        <color theme="1"/>
        <rFont val="Calibri"/>
        <family val="2"/>
        <scheme val="minor"/>
      </rPr>
      <t>B</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ELEVF x RF</t>
    </r>
  </si>
  <si>
    <t>For Natural Gas-Fired Industrial Boilers between 205 and 4,100 MMBTU/hour :</t>
  </si>
  <si>
    <r>
      <t>TCI = 10,530 x (1,640/Q</t>
    </r>
    <r>
      <rPr>
        <vertAlign val="subscript"/>
        <sz val="12"/>
        <color theme="1"/>
        <rFont val="Calibri"/>
        <family val="2"/>
        <scheme val="minor"/>
      </rPr>
      <t>B</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ELEVF x RF</t>
    </r>
  </si>
  <si>
    <t xml:space="preserve">For Oil-Fired Industrial Boilers &gt;5,500 MMBtu/hour: </t>
  </si>
  <si>
    <r>
      <t>TCI = 5,700 x Q</t>
    </r>
    <r>
      <rPr>
        <vertAlign val="subscript"/>
        <sz val="12"/>
        <color theme="1"/>
        <rFont val="Calibri"/>
        <family val="2"/>
        <scheme val="minor"/>
      </rPr>
      <t>B</t>
    </r>
    <r>
      <rPr>
        <sz val="12"/>
        <color theme="1"/>
        <rFont val="Calibri"/>
        <family val="2"/>
        <scheme val="minor"/>
      </rPr>
      <t xml:space="preserve"> x ELEVF x RF</t>
    </r>
  </si>
  <si>
    <t>For Natural Gas-Fired Industrial Boilers &gt;4,100 MMBtu/hour:</t>
  </si>
  <si>
    <r>
      <t>TCI = 7,640 x Q</t>
    </r>
    <r>
      <rPr>
        <vertAlign val="subscript"/>
        <sz val="12"/>
        <color theme="1"/>
        <rFont val="Calibri"/>
        <family val="2"/>
        <scheme val="minor"/>
      </rPr>
      <t>B</t>
    </r>
    <r>
      <rPr>
        <sz val="12"/>
        <color theme="1"/>
        <rFont val="Calibri"/>
        <family val="2"/>
        <scheme val="minor"/>
      </rPr>
      <t xml:space="preserve"> x ELEVF x RF</t>
    </r>
  </si>
  <si>
    <t>Total Capital Investment (TCI) =</t>
  </si>
  <si>
    <t>TCI for Coal-Fired Boilers</t>
  </si>
  <si>
    <t>For Coal-Fired Boilers:</t>
  </si>
  <si>
    <r>
      <t>TCI = 1.3 x (SCR</t>
    </r>
    <r>
      <rPr>
        <vertAlign val="subscript"/>
        <sz val="12"/>
        <color theme="1"/>
        <rFont val="Calibri"/>
        <family val="2"/>
        <scheme val="minor"/>
      </rPr>
      <t>cost</t>
    </r>
    <r>
      <rPr>
        <sz val="12"/>
        <color theme="1"/>
        <rFont val="Calibri"/>
        <family val="2"/>
        <scheme val="minor"/>
      </rPr>
      <t xml:space="preserve"> + RPC + APHC + BPC)</t>
    </r>
  </si>
  <si>
    <r>
      <t>Capital costs for the SCR (SCR</t>
    </r>
    <r>
      <rPr>
        <vertAlign val="subscript"/>
        <sz val="12"/>
        <color theme="1"/>
        <rFont val="Calibri"/>
        <family val="2"/>
        <scheme val="minor"/>
      </rPr>
      <t>cost</t>
    </r>
    <r>
      <rPr>
        <sz val="12"/>
        <color theme="1"/>
        <rFont val="Calibri"/>
        <family val="2"/>
        <scheme val="minor"/>
      </rPr>
      <t>) =</t>
    </r>
  </si>
  <si>
    <t>Reagent Preparation Cost (RPC) =</t>
  </si>
  <si>
    <r>
      <t>Air Pre-Heater Costs (APHC</t>
    </r>
    <r>
      <rPr>
        <sz val="12"/>
        <color theme="1"/>
        <rFont val="Calibri"/>
        <family val="2"/>
        <scheme val="minor"/>
      </rPr>
      <t xml:space="preserve">)* = </t>
    </r>
  </si>
  <si>
    <r>
      <t>Balance of Plant Costs (BPC</t>
    </r>
    <r>
      <rPr>
        <sz val="12"/>
        <color theme="1"/>
        <rFont val="Calibri"/>
        <family val="2"/>
        <scheme val="minor"/>
      </rPr>
      <t>) =</t>
    </r>
  </si>
  <si>
    <r>
      <t>SCR Capital Costs (SCR</t>
    </r>
    <r>
      <rPr>
        <b/>
        <vertAlign val="subscript"/>
        <sz val="12"/>
        <color theme="1"/>
        <rFont val="Calibri"/>
        <family val="2"/>
        <scheme val="minor"/>
      </rPr>
      <t>cost</t>
    </r>
    <r>
      <rPr>
        <b/>
        <sz val="12"/>
        <color theme="1"/>
        <rFont val="Calibri"/>
        <family val="2"/>
        <scheme val="minor"/>
      </rPr>
      <t>)</t>
    </r>
  </si>
  <si>
    <t>For Coal-Fired Utility Boilers &gt;25  MW:</t>
  </si>
  <si>
    <r>
      <t>SCR</t>
    </r>
    <r>
      <rPr>
        <vertAlign val="subscript"/>
        <sz val="12"/>
        <color theme="1"/>
        <rFont val="Calibri"/>
        <family val="2"/>
        <scheme val="minor"/>
      </rPr>
      <t>cost</t>
    </r>
    <r>
      <rPr>
        <sz val="12"/>
        <color theme="1"/>
        <rFont val="Calibri"/>
        <family val="2"/>
        <scheme val="minor"/>
      </rPr>
      <t xml:space="preserve"> = 310,000 x (NRF)</t>
    </r>
    <r>
      <rPr>
        <vertAlign val="superscript"/>
        <sz val="12"/>
        <color theme="1"/>
        <rFont val="Calibri"/>
        <family val="2"/>
        <scheme val="minor"/>
      </rPr>
      <t>0.2</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0.92</t>
    </r>
    <r>
      <rPr>
        <sz val="12"/>
        <color theme="1"/>
        <rFont val="Calibri"/>
        <family val="2"/>
        <scheme val="minor"/>
      </rPr>
      <t xml:space="preserve"> x ELEVF x RF</t>
    </r>
  </si>
  <si>
    <t>For Coal-Fired Industrial Boilers &gt;250 MMBtu/hour:</t>
  </si>
  <si>
    <r>
      <t>SCR</t>
    </r>
    <r>
      <rPr>
        <vertAlign val="subscript"/>
        <sz val="12"/>
        <color theme="1"/>
        <rFont val="Calibri"/>
        <family val="2"/>
        <scheme val="minor"/>
      </rPr>
      <t>cost</t>
    </r>
    <r>
      <rPr>
        <sz val="12"/>
        <color theme="1"/>
        <rFont val="Calibri"/>
        <family val="2"/>
        <scheme val="minor"/>
      </rPr>
      <t xml:space="preserve"> = 310,000 x (NRF)</t>
    </r>
    <r>
      <rPr>
        <vertAlign val="superscript"/>
        <sz val="12"/>
        <color theme="1"/>
        <rFont val="Calibri"/>
        <family val="2"/>
        <scheme val="minor"/>
      </rPr>
      <t xml:space="preserve">0.2 </t>
    </r>
    <r>
      <rPr>
        <sz val="12"/>
        <color theme="1"/>
        <rFont val="Calibri"/>
        <family val="2"/>
        <scheme val="minor"/>
      </rPr>
      <t>x (0.1 x Q</t>
    </r>
    <r>
      <rPr>
        <vertAlign val="subscript"/>
        <sz val="12"/>
        <color theme="1"/>
        <rFont val="Calibri"/>
        <family val="2"/>
        <scheme val="minor"/>
      </rPr>
      <t>B</t>
    </r>
    <r>
      <rPr>
        <sz val="12"/>
        <color theme="1"/>
        <rFont val="Calibri"/>
        <family val="2"/>
        <scheme val="minor"/>
      </rPr>
      <t xml:space="preserve"> x CoalF)</t>
    </r>
    <r>
      <rPr>
        <vertAlign val="superscript"/>
        <sz val="12"/>
        <color theme="1"/>
        <rFont val="Calibri"/>
        <family val="2"/>
        <scheme val="minor"/>
      </rPr>
      <t>0.92</t>
    </r>
    <r>
      <rPr>
        <sz val="12"/>
        <color theme="1"/>
        <rFont val="Calibri"/>
        <family val="2"/>
        <scheme val="minor"/>
      </rPr>
      <t xml:space="preserve"> x ELEVF x RF</t>
    </r>
  </si>
  <si>
    <r>
      <t>SCR Capital Costs (SCR</t>
    </r>
    <r>
      <rPr>
        <vertAlign val="subscript"/>
        <sz val="12"/>
        <color theme="1"/>
        <rFont val="Calibri"/>
        <family val="2"/>
        <scheme val="minor"/>
      </rPr>
      <t>cost</t>
    </r>
    <r>
      <rPr>
        <sz val="12"/>
        <color theme="1"/>
        <rFont val="Calibri"/>
        <family val="2"/>
        <scheme val="minor"/>
      </rPr>
      <t xml:space="preserve">) = </t>
    </r>
  </si>
  <si>
    <t>Reagent Preparation Costs (RPC)</t>
  </si>
  <si>
    <r>
      <t>RPC = 564,000 x (NOx</t>
    </r>
    <r>
      <rPr>
        <vertAlign val="subscript"/>
        <sz val="12"/>
        <color theme="1"/>
        <rFont val="Calibri"/>
        <family val="2"/>
        <scheme val="minor"/>
      </rPr>
      <t>in</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NPHR x EF)</t>
    </r>
    <r>
      <rPr>
        <vertAlign val="superscript"/>
        <sz val="12"/>
        <color theme="1"/>
        <rFont val="Calibri"/>
        <family val="2"/>
        <scheme val="minor"/>
      </rPr>
      <t xml:space="preserve">0.25 </t>
    </r>
    <r>
      <rPr>
        <sz val="12"/>
        <color theme="1"/>
        <rFont val="Calibri"/>
        <family val="2"/>
        <scheme val="minor"/>
      </rPr>
      <t>x RF</t>
    </r>
  </si>
  <si>
    <r>
      <t>RPC = 564,000 x (NOx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EF)</t>
    </r>
    <r>
      <rPr>
        <vertAlign val="superscript"/>
        <sz val="12"/>
        <color theme="1"/>
        <rFont val="Calibri"/>
        <family val="2"/>
        <scheme val="minor"/>
      </rPr>
      <t>0.25</t>
    </r>
    <r>
      <rPr>
        <sz val="12"/>
        <color theme="1"/>
        <rFont val="Calibri"/>
        <family val="2"/>
        <scheme val="minor"/>
      </rPr>
      <t xml:space="preserve"> x RF</t>
    </r>
  </si>
  <si>
    <t xml:space="preserve">Reagent Preparation Costs (RPC) = </t>
  </si>
  <si>
    <t>Air Pre-Heater Costs (APHC)*</t>
  </si>
  <si>
    <t>For Coal-Fired Utility Boilers &gt;25MW:</t>
  </si>
  <si>
    <r>
      <t xml:space="preserve"> APHC = 69,000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</si>
  <si>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 xml:space="preserve"> APHC = 69,000 x (0.1 x Q</t>
    </r>
    <r>
      <rPr>
        <vertAlign val="subscript"/>
        <sz val="12"/>
        <color theme="1"/>
        <rFont val="Calibri"/>
        <family val="2"/>
        <scheme val="minor"/>
      </rPr>
      <t>B</t>
    </r>
    <r>
      <rPr>
        <sz val="12"/>
        <color theme="1"/>
        <rFont val="Calibri"/>
        <family val="2"/>
        <scheme val="minor"/>
      </rPr>
      <t xml:space="preserve"> x CoalF)</t>
    </r>
    <r>
      <rPr>
        <vertAlign val="superscript"/>
        <sz val="12"/>
        <color theme="1"/>
        <rFont val="Calibri"/>
        <family val="2"/>
        <scheme val="minor"/>
      </rPr>
      <t>0.78</t>
    </r>
    <r>
      <rPr>
        <sz val="12"/>
        <color theme="1"/>
        <rFont val="Calibri"/>
        <family val="2"/>
        <scheme val="minor"/>
      </rPr>
      <t xml:space="preserve"> x AHF x RF</t>
    </r>
  </si>
  <si>
    <r>
      <t>Air Pre-Heater Costs (APH</t>
    </r>
    <r>
      <rPr>
        <vertAlign val="subscript"/>
        <sz val="12"/>
        <color theme="1"/>
        <rFont val="Calibri"/>
        <family val="2"/>
        <scheme val="minor"/>
      </rPr>
      <t>cost</t>
    </r>
    <r>
      <rPr>
        <sz val="12"/>
        <color theme="1"/>
        <rFont val="Calibri"/>
        <family val="2"/>
        <scheme val="minor"/>
      </rPr>
      <t xml:space="preserve">) = </t>
    </r>
  </si>
  <si>
    <t>Balance of Plant Costs (BPC)</t>
  </si>
  <si>
    <r>
      <t>BPC = 529,000 x (B</t>
    </r>
    <r>
      <rPr>
        <vertAlign val="subscript"/>
        <sz val="12"/>
        <color theme="1"/>
        <rFont val="Calibri"/>
        <family val="2"/>
        <scheme val="minor"/>
      </rPr>
      <t xml:space="preserve">MW </t>
    </r>
    <r>
      <rPr>
        <sz val="12"/>
        <color theme="1"/>
        <rFont val="Calibri"/>
        <family val="2"/>
        <scheme val="minor"/>
      </rPr>
      <t>x HRFx CoalF)</t>
    </r>
    <r>
      <rPr>
        <vertAlign val="superscript"/>
        <sz val="12"/>
        <color theme="1"/>
        <rFont val="Calibri"/>
        <family val="2"/>
        <scheme val="minor"/>
      </rPr>
      <t>0.42</t>
    </r>
    <r>
      <rPr>
        <sz val="12"/>
        <color theme="1"/>
        <rFont val="Calibri"/>
        <family val="2"/>
        <scheme val="minor"/>
      </rPr>
      <t xml:space="preserve"> x ELEVF x RF</t>
    </r>
  </si>
  <si>
    <r>
      <t>BPC = 529,000 x (0.1 x Q</t>
    </r>
    <r>
      <rPr>
        <vertAlign val="subscript"/>
        <sz val="12"/>
        <color theme="1"/>
        <rFont val="Calibri"/>
        <family val="2"/>
        <scheme val="minor"/>
      </rPr>
      <t xml:space="preserve">B </t>
    </r>
    <r>
      <rPr>
        <sz val="12"/>
        <color theme="1"/>
        <rFont val="Calibri"/>
        <family val="2"/>
        <scheme val="minor"/>
      </rPr>
      <t>x CoalF)</t>
    </r>
    <r>
      <rPr>
        <vertAlign val="superscript"/>
        <sz val="12"/>
        <color theme="1"/>
        <rFont val="Calibri"/>
        <family val="2"/>
        <scheme val="minor"/>
      </rPr>
      <t>0.42</t>
    </r>
    <r>
      <rPr>
        <sz val="12"/>
        <color theme="1"/>
        <rFont val="Calibri"/>
        <family val="2"/>
        <scheme val="minor"/>
      </rPr>
      <t xml:space="preserve"> ELEVF x RF</t>
    </r>
  </si>
  <si>
    <r>
      <t>Balance of Plant Costs (BOP</t>
    </r>
    <r>
      <rPr>
        <vertAlign val="subscript"/>
        <sz val="12"/>
        <color theme="1"/>
        <rFont val="Calibri"/>
        <family val="2"/>
        <scheme val="minor"/>
      </rPr>
      <t>cost</t>
    </r>
    <r>
      <rPr>
        <sz val="12"/>
        <color theme="1"/>
        <rFont val="Calibri"/>
        <family val="2"/>
        <scheme val="minor"/>
      </rPr>
      <t>) =</t>
    </r>
  </si>
  <si>
    <t>Annual Costs</t>
  </si>
  <si>
    <t>Total Annual Cost (TAC)</t>
  </si>
  <si>
    <t>TAC = Direct Annual Costs + Indirect Annual Costs</t>
  </si>
  <si>
    <t>Direct Annual Costs (DAC) =</t>
  </si>
  <si>
    <t>Indirect Annual Costs (IDAC) =</t>
  </si>
  <si>
    <t>Total annual costs (TAC) = DAC + IDAC</t>
  </si>
  <si>
    <t>Direct Annual Costs (DAC)</t>
  </si>
  <si>
    <t>DAC = (Annual Maintenance Cost) + (Annual Reagent Cost) + (Annual Electricity Cost) + (Annual Catalyst Cost)</t>
  </si>
  <si>
    <t>Annual Maintenance Cost =</t>
  </si>
  <si>
    <t>Annual Reagent Cost =</t>
  </si>
  <si>
    <r>
      <t>m</t>
    </r>
    <r>
      <rPr>
        <vertAlign val="subscript"/>
        <sz val="12"/>
        <color theme="1"/>
        <rFont val="Calibri"/>
        <family val="2"/>
        <scheme val="minor"/>
      </rPr>
      <t>sol</t>
    </r>
    <r>
      <rPr>
        <sz val="12"/>
        <color theme="1"/>
        <rFont val="Calibri"/>
        <family val="2"/>
        <scheme val="minor"/>
      </rPr>
      <t xml:space="preserve"> x Cost</t>
    </r>
    <r>
      <rPr>
        <vertAlign val="subscript"/>
        <sz val="12"/>
        <color theme="1"/>
        <rFont val="Calibri"/>
        <family val="2"/>
        <scheme val="minor"/>
      </rPr>
      <t>reag</t>
    </r>
    <r>
      <rPr>
        <sz val="12"/>
        <color theme="1"/>
        <rFont val="Calibri"/>
        <family val="2"/>
        <scheme val="minor"/>
      </rPr>
      <t xml:space="preserve"> x t</t>
    </r>
    <r>
      <rPr>
        <vertAlign val="subscript"/>
        <sz val="12"/>
        <color theme="1"/>
        <rFont val="Calibri"/>
        <family val="2"/>
        <scheme val="minor"/>
      </rPr>
      <t xml:space="preserve">op </t>
    </r>
    <r>
      <rPr>
        <sz val="12"/>
        <color theme="1"/>
        <rFont val="Calibri"/>
        <family val="2"/>
        <scheme val="minor"/>
      </rPr>
      <t>=</t>
    </r>
  </si>
  <si>
    <t>Annual Electricity Cost =</t>
  </si>
  <si>
    <r>
      <t>P x Cost</t>
    </r>
    <r>
      <rPr>
        <vertAlign val="subscript"/>
        <sz val="12"/>
        <color theme="1"/>
        <rFont val="Calibri"/>
        <family val="2"/>
        <scheme val="minor"/>
      </rPr>
      <t>elect</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 </t>
    </r>
  </si>
  <si>
    <t>Annual Catalyst Replacement Cost =</t>
  </si>
  <si>
    <r>
      <t>n</t>
    </r>
    <r>
      <rPr>
        <vertAlign val="subscript"/>
        <sz val="12"/>
        <color theme="1"/>
        <rFont val="Calibri"/>
        <family val="2"/>
        <scheme val="minor"/>
      </rPr>
      <t>scr</t>
    </r>
    <r>
      <rPr>
        <sz val="12"/>
        <color theme="1"/>
        <rFont val="Calibri"/>
        <family val="2"/>
        <scheme val="minor"/>
      </rPr>
      <t xml:space="preserve"> x Vol</t>
    </r>
    <r>
      <rPr>
        <vertAlign val="subscript"/>
        <sz val="12"/>
        <color theme="1"/>
        <rFont val="Calibri"/>
        <family val="2"/>
        <scheme val="minor"/>
      </rPr>
      <t>cat</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/R</t>
    </r>
    <r>
      <rPr>
        <vertAlign val="subscript"/>
        <sz val="12"/>
        <color theme="1"/>
        <rFont val="Calibri"/>
        <family val="2"/>
        <scheme val="minor"/>
      </rPr>
      <t>layer</t>
    </r>
    <r>
      <rPr>
        <sz val="12"/>
        <color theme="1"/>
        <rFont val="Calibri"/>
        <family val="2"/>
        <scheme val="minor"/>
      </rPr>
      <t>) x FWF</t>
    </r>
  </si>
  <si>
    <t>Method 1</t>
  </si>
  <si>
    <r>
      <t>B</t>
    </r>
    <r>
      <rPr>
        <vertAlign val="subscript"/>
        <sz val="12"/>
        <color theme="1"/>
        <rFont val="Calibri"/>
        <family val="2"/>
        <scheme val="minor"/>
      </rPr>
      <t>MW</t>
    </r>
    <r>
      <rPr>
        <sz val="12"/>
        <color theme="1"/>
        <rFont val="Calibri"/>
        <family val="2"/>
        <scheme val="minor"/>
      </rPr>
      <t xml:space="preserve"> x 0.4 x (CoalF)</t>
    </r>
    <r>
      <rPr>
        <vertAlign val="superscript"/>
        <sz val="12"/>
        <color theme="1"/>
        <rFont val="Calibri"/>
        <family val="2"/>
        <scheme val="minor"/>
      </rPr>
      <t>2.9</t>
    </r>
    <r>
      <rPr>
        <sz val="12"/>
        <color theme="1"/>
        <rFont val="Calibri"/>
        <family val="2"/>
        <scheme val="minor"/>
      </rPr>
      <t xml:space="preserve"> x (NRF)</t>
    </r>
    <r>
      <rPr>
        <vertAlign val="superscript"/>
        <sz val="12"/>
        <color theme="1"/>
        <rFont val="Calibri"/>
        <family val="2"/>
        <scheme val="minor"/>
      </rPr>
      <t>0.71</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 xml:space="preserve">) x 35.3      </t>
    </r>
  </si>
  <si>
    <t>Method 2 (utility)</t>
  </si>
  <si>
    <r>
      <t>(Q</t>
    </r>
    <r>
      <rPr>
        <vertAlign val="subscript"/>
        <sz val="12"/>
        <color theme="1"/>
        <rFont val="Calibri"/>
        <family val="2"/>
        <scheme val="minor"/>
      </rPr>
      <t>B</t>
    </r>
    <r>
      <rPr>
        <sz val="12"/>
        <color theme="1"/>
        <rFont val="Calibri"/>
        <family val="2"/>
        <scheme val="minor"/>
      </rPr>
      <t>/NPHR) x 0.4 x (CoalF)</t>
    </r>
    <r>
      <rPr>
        <vertAlign val="superscript"/>
        <sz val="12"/>
        <color theme="1"/>
        <rFont val="Calibri"/>
        <family val="2"/>
        <scheme val="minor"/>
      </rPr>
      <t>2.9</t>
    </r>
    <r>
      <rPr>
        <sz val="12"/>
        <color theme="1"/>
        <rFont val="Calibri"/>
        <family val="2"/>
        <scheme val="minor"/>
      </rPr>
      <t xml:space="preserve"> x (NRF)</t>
    </r>
    <r>
      <rPr>
        <vertAlign val="superscript"/>
        <sz val="12"/>
        <color theme="1"/>
        <rFont val="Calibri"/>
        <family val="2"/>
        <scheme val="minor"/>
      </rPr>
      <t>0.71</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 xml:space="preserve">) x 35.3 </t>
    </r>
  </si>
  <si>
    <t>Method 2 (industrial)</t>
  </si>
  <si>
    <t xml:space="preserve">Direct Annual Cost = </t>
  </si>
  <si>
    <t>Indirect Annual Cost (IDAC)</t>
  </si>
  <si>
    <t>IDAC = Administrative Charges + Capital Recovery Costs</t>
  </si>
  <si>
    <t xml:space="preserve">Administrative Charges (AC) = </t>
  </si>
  <si>
    <t>Capital Recovery Costs (CR)=</t>
  </si>
  <si>
    <t>CRF x TCI =</t>
  </si>
  <si>
    <t>Indirect Annual Cost (IDAC) =</t>
  </si>
  <si>
    <t>AC + CR =</t>
  </si>
  <si>
    <t>Cost Effectiveness</t>
  </si>
  <si>
    <t>Cost Effectiveness = Total Annual Cost/ NOx Removed/year</t>
  </si>
  <si>
    <t>Total Annual Cost (TAC) =</t>
  </si>
  <si>
    <t>NOx Removed =</t>
  </si>
  <si>
    <t xml:space="preserve">Cost Effectiveness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</si>
</sst>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164" formatCode="&quot;$&quot;#,##0.00"/>
    <numFmt numFmtId="165" formatCode="0.0000"/>
    <numFmt numFmtId="166" formatCode="&quot;$&quot;#,##0"/>
    <numFmt numFmtId="167" formatCode="0.0"/>
    <numFmt numFmtId="168" formatCode="0.000"/>
    <numFmt numFmtId="169" formatCode="#,##0.0"/>
  </numFmts>
  <fonts count="6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vertAlign val="subscript"/>
      <sz val="11"/>
      <color theme="1"/>
      <name val="Calibri"/>
      <family val="2"/>
      <scheme val="minor"/>
    </font>
    <font>
      <b/>
      <sz val="11"/>
      <color theme="8" tint="-0.249977111117893"/>
      <name val="Calibri"/>
      <family val="2"/>
      <scheme val="minor"/>
    </font>
    <font>
      <sz val="11"/>
      <color theme="8" tint="-0.249977111117893"/>
      <name val="Calibri"/>
      <family val="2"/>
      <scheme val="minor"/>
    </font>
    <font>
      <b/>
      <sz val="14"/>
      <color theme="0"/>
      <name val="Calibri"/>
      <family val="2"/>
      <scheme val="minor"/>
    </font>
    <font>
      <sz val="14"/>
      <color theme="1"/>
      <name val="Calibri"/>
      <family val="2"/>
      <scheme val="minor"/>
    </font>
    <font>
      <sz val="14"/>
      <color theme="0"/>
      <name val="Calibri"/>
      <family val="2"/>
      <scheme val="minor"/>
    </font>
    <font>
      <b/>
      <sz val="18"/>
      <color theme="0"/>
      <name val="Calibri"/>
      <family val="2"/>
      <scheme val="minor"/>
    </font>
    <font>
      <sz val="18"/>
      <color theme="1"/>
      <name val="Calibri"/>
      <family val="2"/>
      <scheme val="minor"/>
    </font>
    <font>
      <sz val="18"/>
      <color theme="0"/>
      <name val="Calibri"/>
      <family val="2"/>
      <scheme val="minor"/>
    </font>
    <font>
      <sz val="20"/>
      <color theme="1"/>
      <name val="Calibri"/>
      <family val="2"/>
      <scheme val="minor"/>
    </font>
    <font>
      <sz val="11"/>
      <color rgb="FFFF0000"/>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b/>
      <sz val="12"/>
      <color theme="1"/>
      <name val="Calibri"/>
      <family val="2"/>
      <scheme val="minor"/>
    </font>
    <font>
      <vertAlign val="subscript"/>
      <sz val="12"/>
      <color theme="1"/>
      <name val="Calibri"/>
      <family val="2"/>
      <scheme val="minor"/>
    </font>
    <font>
      <b/>
      <vertAlign val="subscript"/>
      <sz val="12"/>
      <color theme="1"/>
      <name val="Calibri"/>
      <family val="2"/>
      <scheme val="minor"/>
    </font>
    <font>
      <vertAlign val="superscript"/>
      <sz val="12"/>
      <color theme="1"/>
      <name val="Calibri"/>
      <family val="2"/>
      <scheme val="minor"/>
    </font>
    <font>
      <b/>
      <u/>
      <sz val="12"/>
      <color theme="1"/>
      <name val="Calibri"/>
      <family val="2"/>
      <scheme val="minor"/>
    </font>
    <font>
      <b/>
      <sz val="12"/>
      <color theme="8" tint="-0.249977111117893"/>
      <name val="Calibri"/>
      <family val="2"/>
      <scheme val="minor"/>
    </font>
    <font>
      <sz val="12"/>
      <color rgb="FFFF0000"/>
      <name val="Calibri"/>
      <family val="2"/>
      <scheme val="minor"/>
    </font>
    <font>
      <sz val="12"/>
      <color theme="8" tint="-0.249977111117893"/>
      <name val="Calibri"/>
      <family val="2"/>
      <scheme val="minor"/>
    </font>
    <font>
      <sz val="12"/>
      <color theme="8" tint="-0.499984740745262"/>
      <name val="Calibri"/>
      <family val="2"/>
      <scheme val="minor"/>
    </font>
    <font>
      <b/>
      <i/>
      <sz val="12"/>
      <color theme="8" tint="-0.499984740745262"/>
      <name val="Calibri"/>
      <family val="2"/>
      <scheme val="minor"/>
    </font>
    <font>
      <sz val="12"/>
      <color theme="8" tint="-0.499984740745262"/>
      <name val="Times New Roman"/>
      <family val="1"/>
    </font>
    <font>
      <sz val="11"/>
      <name val="Calibri"/>
      <family val="2"/>
      <scheme val="minor"/>
    </font>
    <font>
      <sz val="14"/>
      <name val="Calibri"/>
      <family val="2"/>
      <scheme val="minor"/>
    </font>
    <font>
      <b/>
      <i/>
      <sz val="12"/>
      <color theme="8" tint="-0.249977111117893"/>
      <name val="Calibri"/>
      <family val="2"/>
      <scheme val="minor"/>
    </font>
    <font>
      <b/>
      <sz val="12"/>
      <color theme="8" tint="-0.499984740745262"/>
      <name val="Calibri"/>
      <family val="2"/>
      <scheme val="minor"/>
    </font>
    <font>
      <b/>
      <u/>
      <sz val="12"/>
      <color theme="8" tint="-0.499984740745262"/>
      <name val="Calibri"/>
      <family val="2"/>
      <scheme val="minor"/>
    </font>
    <font>
      <sz val="12"/>
      <name val="Calibri"/>
      <family val="2"/>
      <scheme val="minor"/>
    </font>
    <font>
      <b/>
      <sz val="12"/>
      <name val="Calibri"/>
      <family val="2"/>
      <scheme val="minor"/>
    </font>
    <font>
      <b/>
      <sz val="16"/>
      <color theme="0"/>
      <name val="Calibri"/>
      <family val="2"/>
      <scheme val="minor"/>
    </font>
    <font>
      <sz val="18"/>
      <name val="Calibri"/>
      <family val="2"/>
      <scheme val="minor"/>
    </font>
    <font>
      <sz val="12"/>
      <color theme="8" tint="-0.499984740745262"/>
      <name val="Calibri"/>
      <family val="2"/>
    </font>
    <font>
      <sz val="8"/>
      <color theme="1"/>
      <name val="Calibri"/>
      <family val="2"/>
      <scheme val="minor"/>
    </font>
    <font>
      <sz val="20"/>
      <name val="Calibri"/>
      <family val="2"/>
      <scheme val="minor"/>
    </font>
    <font>
      <sz val="11"/>
      <color rgb="FFC00000"/>
      <name val="Calibri"/>
      <family val="2"/>
      <scheme val="minor"/>
    </font>
    <font>
      <sz val="9"/>
      <color rgb="FFC00000"/>
      <name val="Calibri"/>
      <family val="2"/>
      <scheme val="minor"/>
    </font>
    <font>
      <sz val="20"/>
      <color rgb="FFFF0000"/>
      <name val="Calibri"/>
      <family val="2"/>
      <scheme val="minor"/>
    </font>
    <font>
      <sz val="14"/>
      <color rgb="FFFF0000"/>
      <name val="Calibri"/>
      <family val="2"/>
      <scheme val="minor"/>
    </font>
    <font>
      <sz val="9"/>
      <color rgb="FFFF0000"/>
      <name val="Calibri"/>
      <family val="2"/>
      <scheme val="minor"/>
    </font>
    <font>
      <sz val="11"/>
      <color theme="1"/>
      <name val="Calibri"/>
      <family val="2"/>
    </font>
    <font>
      <vertAlign val="subscript"/>
      <sz val="11"/>
      <color theme="1"/>
      <name val="Calibri"/>
      <family val="2"/>
    </font>
    <font>
      <vertAlign val="superscript"/>
      <sz val="11"/>
      <color theme="1"/>
      <name val="Calibri"/>
      <family val="2"/>
      <scheme val="minor"/>
    </font>
    <font>
      <u/>
      <sz val="11"/>
      <color theme="1"/>
      <name val="Calibri"/>
      <family val="2"/>
      <scheme val="minor"/>
    </font>
    <font>
      <vertAlign val="subscript"/>
      <sz val="11"/>
      <name val="Calibri"/>
      <family val="2"/>
      <scheme val="minor"/>
    </font>
    <font>
      <vertAlign val="superscript"/>
      <sz val="11"/>
      <name val="Calibri"/>
      <family val="2"/>
      <scheme val="minor"/>
    </font>
    <font>
      <vertAlign val="subscript"/>
      <sz val="12"/>
      <name val="Calibri"/>
      <family val="2"/>
      <scheme val="minor"/>
    </font>
    <font>
      <vertAlign val="superscript"/>
      <sz val="12"/>
      <name val="Calibri"/>
      <family val="2"/>
      <scheme val="minor"/>
    </font>
    <font>
      <vertAlign val="subscript"/>
      <sz val="12"/>
      <color theme="8" tint="-0.499984740745262"/>
      <name val="Calibri"/>
      <family val="2"/>
      <scheme val="minor"/>
    </font>
    <font>
      <b/>
      <i/>
      <sz val="12"/>
      <name val="Calibri"/>
      <family val="2"/>
      <scheme val="minor"/>
    </font>
    <font>
      <sz val="11"/>
      <color theme="6" tint="-0.249977111117893"/>
      <name val="Calibri"/>
      <family val="2"/>
      <scheme val="minor"/>
    </font>
    <font>
      <sz val="8"/>
      <color rgb="FF000000"/>
      <name val="Segoe UI"/>
      <family val="2"/>
    </font>
    <font>
      <sz val="16"/>
      <color rgb="FF000080"/>
      <name val="Calibri"/>
      <family val="2"/>
    </font>
    <font>
      <sz val="11"/>
      <color rgb="FF000000"/>
      <name val="Calibri"/>
      <family val="2"/>
    </font>
  </fonts>
  <fills count="14">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7" tint="0.79995117038483843"/>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499984740745262"/>
        <bgColor indexed="64"/>
      </patternFill>
    </fill>
    <fill>
      <patternFill patternType="solid">
        <fgColor theme="8"/>
        <bgColor indexed="64"/>
      </patternFill>
    </fill>
    <fill>
      <patternFill patternType="solid">
        <fgColor rgb="FF808080"/>
        <bgColor indexed="64"/>
      </patternFill>
    </fill>
    <fill>
      <patternFill patternType="solid">
        <fgColor theme="7" tint="0.59999389629810485"/>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8">
    <xf numFmtId="0" fontId="0" fillId="0" borderId="0" xfId="0"/>
    <xf numFmtId="0" fontId="1" fillId="0" borderId="0" xfId="0" applyFont="1"/>
    <xf numFmtId="0" fontId="0" fillId="0" borderId="4" xfId="0" applyBorder="1"/>
    <xf numFmtId="0" fontId="0" fillId="0" borderId="12" xfId="0" applyBorder="1"/>
    <xf numFmtId="0" fontId="3" fillId="0" borderId="0" xfId="0" applyFont="1"/>
    <xf numFmtId="0" fontId="0" fillId="0" borderId="13" xfId="0" applyBorder="1"/>
    <xf numFmtId="0" fontId="0" fillId="0" borderId="14" xfId="0" applyBorder="1"/>
    <xf numFmtId="0" fontId="5" fillId="0" borderId="0" xfId="0" applyFont="1"/>
    <xf numFmtId="0" fontId="6" fillId="0" borderId="0" xfId="0" applyFont="1"/>
    <xf numFmtId="0" fontId="8" fillId="0" borderId="0" xfId="0" applyFont="1"/>
    <xf numFmtId="0" fontId="11" fillId="0" borderId="0" xfId="0" applyFont="1"/>
    <xf numFmtId="0" fontId="13" fillId="0" borderId="0" xfId="0" applyFont="1"/>
    <xf numFmtId="0" fontId="0" fillId="4" borderId="0" xfId="0" applyFill="1" applyAlignment="1">
      <alignment horizontal="left" vertical="center"/>
    </xf>
    <xf numFmtId="0" fontId="15" fillId="0" borderId="0" xfId="0" applyFont="1"/>
    <xf numFmtId="0" fontId="15" fillId="0" borderId="2" xfId="0" applyFont="1" applyBorder="1"/>
    <xf numFmtId="0" fontId="15" fillId="0" borderId="4" xfId="0" applyFont="1" applyBorder="1"/>
    <xf numFmtId="0" fontId="15" fillId="0" borderId="8" xfId="0" applyFont="1" applyBorder="1"/>
    <xf numFmtId="7" fontId="15" fillId="2" borderId="9" xfId="0" applyNumberFormat="1" applyFont="1" applyFill="1" applyBorder="1"/>
    <xf numFmtId="0" fontId="18" fillId="0" borderId="0" xfId="0" applyFont="1"/>
    <xf numFmtId="0" fontId="22" fillId="0" borderId="0" xfId="0" applyFont="1"/>
    <xf numFmtId="0" fontId="15" fillId="0" borderId="12" xfId="0" applyFont="1" applyBorder="1"/>
    <xf numFmtId="0" fontId="15" fillId="0" borderId="2" xfId="0" applyFont="1" applyBorder="1" applyAlignment="1">
      <alignment wrapText="1"/>
    </xf>
    <xf numFmtId="0" fontId="15" fillId="0" borderId="0" xfId="0" applyFont="1" applyAlignment="1">
      <alignment wrapText="1"/>
    </xf>
    <xf numFmtId="0" fontId="15" fillId="2" borderId="11" xfId="0" applyFont="1" applyFill="1" applyBorder="1"/>
    <xf numFmtId="0" fontId="15" fillId="2" borderId="7" xfId="0" applyFont="1" applyFill="1" applyBorder="1"/>
    <xf numFmtId="0" fontId="28" fillId="0" borderId="0" xfId="0" applyFont="1" applyAlignment="1">
      <alignment horizontal="left" wrapText="1"/>
    </xf>
    <xf numFmtId="0" fontId="26" fillId="0" borderId="0" xfId="0" quotePrefix="1" applyFont="1" applyAlignment="1">
      <alignment horizontal="right" vertical="top" wrapText="1"/>
    </xf>
    <xf numFmtId="0" fontId="0" fillId="4" borderId="8" xfId="0" applyFill="1" applyBorder="1" applyProtection="1">
      <protection locked="0"/>
    </xf>
    <xf numFmtId="0" fontId="29" fillId="0" borderId="0" xfId="0" applyFont="1"/>
    <xf numFmtId="0" fontId="0" fillId="8" borderId="0" xfId="0" applyFill="1" applyProtection="1">
      <protection locked="0"/>
    </xf>
    <xf numFmtId="0" fontId="30" fillId="0" borderId="0" xfId="0" applyFont="1"/>
    <xf numFmtId="0" fontId="0" fillId="9" borderId="1" xfId="0" applyFill="1" applyBorder="1" applyAlignment="1">
      <alignment horizontal="left"/>
    </xf>
    <xf numFmtId="0" fontId="15" fillId="0" borderId="6" xfId="0" applyFont="1" applyBorder="1"/>
    <xf numFmtId="7" fontId="15" fillId="2" borderId="3" xfId="0" applyNumberFormat="1" applyFont="1" applyFill="1" applyBorder="1"/>
    <xf numFmtId="7" fontId="15" fillId="2" borderId="7" xfId="0" applyNumberFormat="1" applyFont="1" applyFill="1" applyBorder="1"/>
    <xf numFmtId="7" fontId="15" fillId="2" borderId="5" xfId="0" applyNumberFormat="1" applyFont="1" applyFill="1" applyBorder="1"/>
    <xf numFmtId="0" fontId="29" fillId="8" borderId="0" xfId="0" applyFont="1" applyFill="1"/>
    <xf numFmtId="0" fontId="9" fillId="8" borderId="0" xfId="0" applyFont="1" applyFill="1"/>
    <xf numFmtId="0" fontId="30" fillId="8" borderId="0" xfId="0" applyFont="1" applyFill="1"/>
    <xf numFmtId="0" fontId="13" fillId="8" borderId="0" xfId="0" applyFont="1" applyFill="1"/>
    <xf numFmtId="0" fontId="0" fillId="8" borderId="0" xfId="0" applyFill="1"/>
    <xf numFmtId="0" fontId="8" fillId="8" borderId="0" xfId="0" applyFont="1" applyFill="1"/>
    <xf numFmtId="0" fontId="0" fillId="0" borderId="0" xfId="0" applyAlignment="1">
      <alignment vertical="center"/>
    </xf>
    <xf numFmtId="0" fontId="37" fillId="0" borderId="0" xfId="0" applyFont="1"/>
    <xf numFmtId="0" fontId="34" fillId="0" borderId="0" xfId="0" applyFont="1"/>
    <xf numFmtId="0" fontId="35" fillId="0" borderId="0" xfId="0" applyFont="1"/>
    <xf numFmtId="0" fontId="37" fillId="8" borderId="0" xfId="0" applyFont="1" applyFill="1"/>
    <xf numFmtId="0" fontId="34" fillId="8" borderId="0" xfId="0" applyFont="1" applyFill="1"/>
    <xf numFmtId="0" fontId="35" fillId="8" borderId="0" xfId="0" applyFont="1" applyFill="1"/>
    <xf numFmtId="49" fontId="0" fillId="0" borderId="0" xfId="0" applyNumberFormat="1" applyProtection="1">
      <protection locked="0" hidden="1"/>
    </xf>
    <xf numFmtId="1" fontId="15" fillId="2" borderId="1" xfId="0" applyNumberFormat="1" applyFont="1" applyFill="1" applyBorder="1" applyProtection="1">
      <protection hidden="1"/>
    </xf>
    <xf numFmtId="4" fontId="15" fillId="2" borderId="1" xfId="0" applyNumberFormat="1" applyFont="1" applyFill="1" applyBorder="1" applyAlignment="1" applyProtection="1">
      <alignment vertical="center"/>
      <protection hidden="1"/>
    </xf>
    <xf numFmtId="3" fontId="15" fillId="2" borderId="14" xfId="0" applyNumberFormat="1" applyFont="1" applyFill="1" applyBorder="1" applyProtection="1">
      <protection hidden="1"/>
    </xf>
    <xf numFmtId="3" fontId="15" fillId="2" borderId="1" xfId="0" applyNumberFormat="1" applyFont="1" applyFill="1" applyBorder="1" applyAlignment="1" applyProtection="1">
      <alignment vertical="center"/>
      <protection hidden="1"/>
    </xf>
    <xf numFmtId="0" fontId="15" fillId="2" borderId="10" xfId="0" applyFont="1" applyFill="1" applyBorder="1" applyProtection="1">
      <protection hidden="1"/>
    </xf>
    <xf numFmtId="2" fontId="15" fillId="2" borderId="0" xfId="0" applyNumberFormat="1" applyFont="1" applyFill="1" applyAlignment="1" applyProtection="1">
      <alignment vertical="center"/>
      <protection hidden="1"/>
    </xf>
    <xf numFmtId="0" fontId="7" fillId="8" borderId="0" xfId="0" applyFont="1" applyFill="1"/>
    <xf numFmtId="0" fontId="0" fillId="3" borderId="1" xfId="0" applyFill="1" applyBorder="1" applyProtection="1">
      <protection locked="0"/>
    </xf>
    <xf numFmtId="3" fontId="39" fillId="8" borderId="0" xfId="0" applyNumberFormat="1" applyFont="1" applyFill="1" applyAlignment="1">
      <alignment wrapText="1"/>
    </xf>
    <xf numFmtId="0" fontId="0" fillId="2" borderId="8" xfId="0" applyFill="1" applyBorder="1"/>
    <xf numFmtId="0" fontId="0" fillId="0" borderId="0" xfId="0" applyProtection="1">
      <protection hidden="1"/>
    </xf>
    <xf numFmtId="3" fontId="0" fillId="4" borderId="8" xfId="0" applyNumberFormat="1" applyFill="1" applyBorder="1" applyAlignment="1" applyProtection="1">
      <alignment vertical="center"/>
      <protection locked="0"/>
    </xf>
    <xf numFmtId="0" fontId="0" fillId="8" borderId="9" xfId="0" applyFill="1" applyBorder="1" applyAlignment="1" applyProtection="1">
      <alignment vertical="center"/>
      <protection locked="0" hidden="1"/>
    </xf>
    <xf numFmtId="0" fontId="0" fillId="6" borderId="8" xfId="0" applyFill="1" applyBorder="1" applyAlignment="1" applyProtection="1">
      <alignment vertical="center"/>
      <protection locked="0"/>
    </xf>
    <xf numFmtId="49" fontId="0" fillId="0" borderId="9" xfId="0" applyNumberFormat="1" applyBorder="1" applyAlignment="1" applyProtection="1">
      <alignment vertical="center"/>
      <protection locked="0" hidden="1"/>
    </xf>
    <xf numFmtId="0" fontId="0" fillId="0" borderId="9" xfId="0" applyBorder="1" applyAlignment="1" applyProtection="1">
      <alignment vertical="center"/>
      <protection locked="0" hidden="1"/>
    </xf>
    <xf numFmtId="4" fontId="15" fillId="2" borderId="1" xfId="0" applyNumberFormat="1" applyFont="1" applyFill="1" applyBorder="1" applyAlignment="1" applyProtection="1">
      <alignment horizontal="right" vertical="center"/>
      <protection hidden="1"/>
    </xf>
    <xf numFmtId="0" fontId="15" fillId="2" borderId="1" xfId="0" applyFont="1" applyFill="1" applyBorder="1" applyAlignment="1" applyProtection="1">
      <alignment vertical="center"/>
      <protection hidden="1"/>
    </xf>
    <xf numFmtId="2" fontId="15" fillId="2" borderId="1" xfId="0" applyNumberFormat="1" applyFont="1" applyFill="1" applyBorder="1" applyAlignment="1" applyProtection="1">
      <alignment vertical="center"/>
      <protection hidden="1"/>
    </xf>
    <xf numFmtId="1" fontId="15" fillId="2" borderId="1" xfId="0" applyNumberFormat="1" applyFont="1" applyFill="1" applyBorder="1" applyAlignment="1" applyProtection="1">
      <alignment vertical="center"/>
      <protection hidden="1"/>
    </xf>
    <xf numFmtId="0" fontId="0" fillId="8" borderId="4" xfId="0" applyFill="1" applyBorder="1"/>
    <xf numFmtId="0" fontId="41" fillId="0" borderId="0" xfId="0" applyFont="1"/>
    <xf numFmtId="0" fontId="5" fillId="7" borderId="1" xfId="0" applyFont="1" applyFill="1" applyBorder="1"/>
    <xf numFmtId="0" fontId="0" fillId="0" borderId="1" xfId="0" applyBorder="1" applyAlignment="1" applyProtection="1">
      <alignment vertical="top"/>
      <protection hidden="1"/>
    </xf>
    <xf numFmtId="0" fontId="0" fillId="0" borderId="1" xfId="0" applyBorder="1" applyAlignment="1" applyProtection="1">
      <alignment vertical="top" wrapText="1"/>
      <protection hidden="1"/>
    </xf>
    <xf numFmtId="0" fontId="40" fillId="8" borderId="0" xfId="0" applyFont="1" applyFill="1"/>
    <xf numFmtId="0" fontId="14" fillId="8" borderId="0" xfId="0" applyFont="1" applyFill="1" applyProtection="1">
      <protection hidden="1"/>
    </xf>
    <xf numFmtId="0" fontId="3" fillId="8" borderId="0" xfId="0" applyFont="1" applyFill="1" applyProtection="1">
      <protection hidden="1"/>
    </xf>
    <xf numFmtId="0" fontId="0" fillId="8" borderId="0" xfId="0" applyFill="1" applyProtection="1">
      <protection hidden="1"/>
    </xf>
    <xf numFmtId="0" fontId="0" fillId="0" borderId="0" xfId="0" applyAlignment="1" applyProtection="1">
      <alignment wrapText="1"/>
      <protection hidden="1"/>
    </xf>
    <xf numFmtId="0" fontId="2" fillId="5" borderId="1" xfId="0" applyFont="1" applyFill="1" applyBorder="1" applyAlignment="1" applyProtection="1">
      <alignment horizontal="left" wrapText="1"/>
      <protection hidden="1"/>
    </xf>
    <xf numFmtId="0" fontId="5" fillId="0" borderId="0" xfId="0" applyFont="1" applyAlignment="1" applyProtection="1">
      <alignment horizontal="left" wrapText="1"/>
      <protection hidden="1"/>
    </xf>
    <xf numFmtId="0" fontId="15" fillId="0" borderId="1" xfId="0" applyFont="1" applyBorder="1" applyAlignment="1" applyProtection="1">
      <alignment wrapText="1"/>
      <protection hidden="1"/>
    </xf>
    <xf numFmtId="0" fontId="15" fillId="0" borderId="0" xfId="0" applyFont="1" applyProtection="1">
      <protection hidden="1"/>
    </xf>
    <xf numFmtId="0" fontId="24" fillId="8" borderId="0" xfId="0" applyFont="1" applyFill="1" applyProtection="1">
      <protection hidden="1"/>
    </xf>
    <xf numFmtId="0" fontId="16" fillId="8" borderId="0" xfId="0" applyFont="1" applyFill="1" applyProtection="1">
      <protection hidden="1"/>
    </xf>
    <xf numFmtId="0" fontId="15" fillId="8" borderId="0" xfId="0" applyFont="1" applyFill="1" applyProtection="1">
      <protection hidden="1"/>
    </xf>
    <xf numFmtId="0" fontId="15" fillId="0" borderId="1" xfId="0" applyFont="1" applyBorder="1" applyAlignment="1" applyProtection="1">
      <alignment vertical="center" wrapText="1"/>
      <protection hidden="1"/>
    </xf>
    <xf numFmtId="0" fontId="15" fillId="0" borderId="15" xfId="0" applyFont="1" applyBorder="1" applyAlignment="1" applyProtection="1">
      <alignment vertical="center" wrapText="1"/>
      <protection hidden="1"/>
    </xf>
    <xf numFmtId="0" fontId="15" fillId="0" borderId="8" xfId="0" applyFont="1" applyBorder="1" applyAlignment="1" applyProtection="1">
      <alignment vertical="center" wrapText="1"/>
      <protection hidden="1"/>
    </xf>
    <xf numFmtId="0" fontId="15" fillId="0" borderId="0" xfId="0" applyFont="1" applyAlignment="1" applyProtection="1">
      <alignment wrapText="1"/>
      <protection hidden="1"/>
    </xf>
    <xf numFmtId="0" fontId="23" fillId="0" borderId="0" xfId="0" applyFont="1" applyAlignment="1" applyProtection="1">
      <alignment wrapText="1"/>
      <protection hidden="1"/>
    </xf>
    <xf numFmtId="2" fontId="15" fillId="0" borderId="0" xfId="0" applyNumberFormat="1" applyFont="1" applyProtection="1">
      <protection hidden="1"/>
    </xf>
    <xf numFmtId="0" fontId="15" fillId="2" borderId="0" xfId="0" applyFont="1" applyFill="1" applyProtection="1">
      <protection hidden="1"/>
    </xf>
    <xf numFmtId="0" fontId="2" fillId="5" borderId="15" xfId="0" applyFont="1" applyFill="1" applyBorder="1" applyAlignment="1" applyProtection="1">
      <alignment horizontal="left" wrapText="1"/>
      <protection hidden="1"/>
    </xf>
    <xf numFmtId="0" fontId="15" fillId="0" borderId="15" xfId="0" applyFont="1" applyBorder="1" applyAlignment="1" applyProtection="1">
      <alignment wrapText="1"/>
      <protection hidden="1"/>
    </xf>
    <xf numFmtId="0" fontId="15" fillId="0" borderId="7" xfId="0" applyFont="1" applyBorder="1" applyAlignment="1" applyProtection="1">
      <alignment wrapText="1"/>
      <protection hidden="1"/>
    </xf>
    <xf numFmtId="0" fontId="15" fillId="0" borderId="14" xfId="0" applyFont="1" applyBorder="1" applyAlignment="1" applyProtection="1">
      <alignment wrapText="1"/>
      <protection hidden="1"/>
    </xf>
    <xf numFmtId="0" fontId="15" fillId="0" borderId="9" xfId="0" applyFont="1" applyBorder="1" applyAlignment="1" applyProtection="1">
      <alignment wrapText="1"/>
      <protection hidden="1"/>
    </xf>
    <xf numFmtId="3" fontId="15" fillId="0" borderId="0" xfId="0" applyNumberFormat="1" applyFont="1" applyProtection="1">
      <protection hidden="1"/>
    </xf>
    <xf numFmtId="0" fontId="2" fillId="0" borderId="0" xfId="0" applyFont="1" applyAlignment="1" applyProtection="1">
      <alignment horizontal="left" wrapText="1"/>
      <protection hidden="1"/>
    </xf>
    <xf numFmtId="0" fontId="23" fillId="0" borderId="15" xfId="0" applyFont="1" applyBorder="1" applyAlignment="1" applyProtection="1">
      <alignment wrapText="1"/>
      <protection hidden="1"/>
    </xf>
    <xf numFmtId="0" fontId="43" fillId="8" borderId="0" xfId="0" applyFont="1" applyFill="1"/>
    <xf numFmtId="0" fontId="14" fillId="0" borderId="0" xfId="0" applyFont="1"/>
    <xf numFmtId="0" fontId="14" fillId="8" borderId="0" xfId="0" applyFont="1" applyFill="1"/>
    <xf numFmtId="0" fontId="44" fillId="8" borderId="0" xfId="0" applyFont="1" applyFill="1"/>
    <xf numFmtId="0" fontId="14" fillId="0" borderId="5" xfId="0" applyFont="1" applyBorder="1"/>
    <xf numFmtId="0" fontId="45" fillId="0" borderId="5" xfId="0" applyFont="1" applyBorder="1" applyAlignment="1">
      <alignment vertical="top" wrapText="1"/>
    </xf>
    <xf numFmtId="0" fontId="14" fillId="0" borderId="11" xfId="0" applyFont="1" applyBorder="1"/>
    <xf numFmtId="0" fontId="14" fillId="0" borderId="7" xfId="0" applyFont="1" applyBorder="1"/>
    <xf numFmtId="0" fontId="24" fillId="8" borderId="0" xfId="0" applyFont="1" applyFill="1"/>
    <xf numFmtId="2" fontId="15" fillId="0" borderId="0" xfId="0" applyNumberFormat="1" applyFont="1" applyAlignment="1" applyProtection="1">
      <alignment vertical="center"/>
      <protection hidden="1"/>
    </xf>
    <xf numFmtId="166" fontId="15" fillId="2" borderId="10" xfId="0" applyNumberFormat="1" applyFont="1" applyFill="1" applyBorder="1" applyProtection="1">
      <protection hidden="1"/>
    </xf>
    <xf numFmtId="166" fontId="15" fillId="2" borderId="0" xfId="0" applyNumberFormat="1" applyFont="1" applyFill="1" applyProtection="1">
      <protection hidden="1"/>
    </xf>
    <xf numFmtId="166" fontId="15" fillId="2" borderId="11" xfId="0" applyNumberFormat="1" applyFont="1" applyFill="1" applyBorder="1" applyProtection="1">
      <protection hidden="1"/>
    </xf>
    <xf numFmtId="166" fontId="15" fillId="2" borderId="12" xfId="0" applyNumberFormat="1" applyFont="1" applyFill="1" applyBorder="1" applyProtection="1">
      <protection hidden="1"/>
    </xf>
    <xf numFmtId="0" fontId="15" fillId="2" borderId="11" xfId="0" applyFont="1" applyFill="1" applyBorder="1" applyAlignment="1" applyProtection="1">
      <alignment vertical="center"/>
      <protection hidden="1"/>
    </xf>
    <xf numFmtId="0" fontId="15" fillId="2" borderId="14" xfId="0" applyFont="1" applyFill="1" applyBorder="1" applyAlignment="1" applyProtection="1">
      <alignment vertical="center"/>
      <protection hidden="1"/>
    </xf>
    <xf numFmtId="0" fontId="15" fillId="2" borderId="13" xfId="0" applyFont="1" applyFill="1" applyBorder="1" applyAlignment="1" applyProtection="1">
      <alignment vertical="center"/>
      <protection hidden="1"/>
    </xf>
    <xf numFmtId="0" fontId="15" fillId="2" borderId="15" xfId="0" applyFont="1" applyFill="1" applyBorder="1" applyProtection="1">
      <protection hidden="1"/>
    </xf>
    <xf numFmtId="0" fontId="15" fillId="0" borderId="1" xfId="0" quotePrefix="1" applyFont="1" applyBorder="1" applyAlignment="1" applyProtection="1">
      <alignment vertical="center" wrapText="1"/>
      <protection hidden="1"/>
    </xf>
    <xf numFmtId="167" fontId="15" fillId="2" borderId="9" xfId="0" applyNumberFormat="1" applyFont="1" applyFill="1" applyBorder="1" applyAlignment="1" applyProtection="1">
      <alignment vertical="center" wrapText="1"/>
      <protection hidden="1"/>
    </xf>
    <xf numFmtId="0" fontId="0" fillId="4" borderId="8" xfId="0" applyFill="1" applyBorder="1" applyAlignment="1" applyProtection="1">
      <alignment vertical="center"/>
      <protection locked="0"/>
    </xf>
    <xf numFmtId="0" fontId="0" fillId="0" borderId="9" xfId="0" applyBorder="1" applyAlignment="1">
      <alignment vertical="center"/>
    </xf>
    <xf numFmtId="165" fontId="0" fillId="6" borderId="8" xfId="0" applyNumberFormat="1" applyFill="1" applyBorder="1" applyProtection="1">
      <protection locked="0"/>
    </xf>
    <xf numFmtId="0" fontId="15" fillId="2" borderId="7" xfId="0" applyFont="1" applyFill="1" applyBorder="1" applyProtection="1">
      <protection hidden="1"/>
    </xf>
    <xf numFmtId="0" fontId="0" fillId="0" borderId="0" xfId="0" applyAlignment="1" applyProtection="1">
      <alignment vertical="center" wrapText="1"/>
      <protection locked="0"/>
    </xf>
    <xf numFmtId="0" fontId="0" fillId="0" borderId="0" xfId="0" applyAlignment="1">
      <alignment horizontal="left"/>
    </xf>
    <xf numFmtId="0" fontId="0" fillId="2" borderId="1" xfId="0" applyFill="1" applyBorder="1"/>
    <xf numFmtId="0" fontId="0" fillId="0" borderId="1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2" borderId="10" xfId="0" applyFill="1" applyBorder="1"/>
    <xf numFmtId="2" fontId="0" fillId="6" borderId="6" xfId="0" applyNumberFormat="1" applyFill="1" applyBorder="1" applyProtection="1">
      <protection locked="0"/>
    </xf>
    <xf numFmtId="0" fontId="0" fillId="0" borderId="0" xfId="0" applyAlignment="1">
      <alignment wrapText="1"/>
    </xf>
    <xf numFmtId="0" fontId="45" fillId="0" borderId="0" xfId="0" applyFont="1" applyAlignment="1">
      <alignment vertical="top" wrapText="1"/>
    </xf>
    <xf numFmtId="0" fontId="5" fillId="7" borderId="1" xfId="0" applyFont="1" applyFill="1" applyBorder="1" applyAlignment="1">
      <alignment horizontal="center"/>
    </xf>
    <xf numFmtId="0" fontId="6" fillId="0" borderId="5" xfId="0" applyFont="1" applyBorder="1" applyAlignment="1">
      <alignment horizontal="center" wrapText="1"/>
    </xf>
    <xf numFmtId="0" fontId="6" fillId="0" borderId="5" xfId="0" applyFont="1" applyBorder="1"/>
    <xf numFmtId="0" fontId="5"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5" fillId="7" borderId="1" xfId="0" applyFont="1" applyFill="1" applyBorder="1" applyAlignment="1">
      <alignment horizontal="left" vertical="top" wrapText="1"/>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14" fillId="8" borderId="0" xfId="0" applyFont="1" applyFill="1" applyProtection="1">
      <protection locked="0"/>
    </xf>
    <xf numFmtId="0" fontId="14" fillId="8" borderId="0" xfId="0" applyFont="1" applyFill="1" applyProtection="1">
      <protection locked="0" hidden="1"/>
    </xf>
    <xf numFmtId="0" fontId="14" fillId="8" borderId="0" xfId="0" quotePrefix="1" applyFont="1" applyFill="1"/>
    <xf numFmtId="2" fontId="14" fillId="8" borderId="0" xfId="0" applyNumberFormat="1" applyFont="1" applyFill="1"/>
    <xf numFmtId="0" fontId="24" fillId="8" borderId="0" xfId="0" quotePrefix="1" applyFont="1" applyFill="1"/>
    <xf numFmtId="0" fontId="44" fillId="8" borderId="0" xfId="0" applyFont="1" applyFill="1" applyProtection="1">
      <protection locked="0"/>
    </xf>
    <xf numFmtId="0" fontId="5" fillId="12" borderId="0" xfId="0" applyFont="1" applyFill="1"/>
    <xf numFmtId="0" fontId="6" fillId="12" borderId="0" xfId="0" applyFont="1" applyFill="1"/>
    <xf numFmtId="0" fontId="14" fillId="12" borderId="0" xfId="0" applyFont="1" applyFill="1"/>
    <xf numFmtId="0" fontId="0" fillId="12" borderId="0" xfId="0" applyFill="1"/>
    <xf numFmtId="0" fontId="10" fillId="0" borderId="0" xfId="0" applyFont="1"/>
    <xf numFmtId="0" fontId="7" fillId="0" borderId="0" xfId="0" applyFont="1"/>
    <xf numFmtId="11" fontId="34" fillId="8" borderId="0" xfId="0" applyNumberFormat="1" applyFont="1" applyFill="1"/>
    <xf numFmtId="2" fontId="35" fillId="8" borderId="0" xfId="0" applyNumberFormat="1" applyFont="1" applyFill="1"/>
    <xf numFmtId="2" fontId="24" fillId="8" borderId="0" xfId="0" applyNumberFormat="1" applyFont="1" applyFill="1" applyProtection="1">
      <protection hidden="1"/>
    </xf>
    <xf numFmtId="0" fontId="24" fillId="0" borderId="0" xfId="0" applyFont="1" applyAlignment="1" applyProtection="1">
      <alignment wrapText="1"/>
      <protection hidden="1"/>
    </xf>
    <xf numFmtId="3" fontId="15" fillId="2" borderId="11" xfId="0" applyNumberFormat="1" applyFont="1" applyFill="1" applyBorder="1" applyProtection="1">
      <protection hidden="1"/>
    </xf>
    <xf numFmtId="0" fontId="15" fillId="0" borderId="10" xfId="0" quotePrefix="1" applyFont="1" applyBorder="1"/>
    <xf numFmtId="0" fontId="0" fillId="0" borderId="0" xfId="0" applyAlignment="1" applyProtection="1">
      <alignment vertical="center"/>
      <protection locked="0"/>
    </xf>
    <xf numFmtId="0" fontId="15" fillId="0" borderId="14" xfId="0" applyFont="1" applyBorder="1" applyAlignment="1" applyProtection="1">
      <alignment vertical="top" wrapText="1"/>
      <protection hidden="1"/>
    </xf>
    <xf numFmtId="0" fontId="15" fillId="0" borderId="1" xfId="0" applyFont="1" applyBorder="1" applyAlignment="1" applyProtection="1">
      <alignment horizontal="left" vertical="center" wrapText="1"/>
      <protection hidden="1"/>
    </xf>
    <xf numFmtId="1" fontId="15" fillId="2" borderId="8" xfId="0" applyNumberFormat="1" applyFont="1" applyFill="1" applyBorder="1" applyProtection="1">
      <protection hidden="1"/>
    </xf>
    <xf numFmtId="166" fontId="15" fillId="0" borderId="0" xfId="0" applyNumberFormat="1" applyFont="1" applyProtection="1">
      <protection hidden="1"/>
    </xf>
    <xf numFmtId="0" fontId="15" fillId="0" borderId="10" xfId="0" applyFont="1" applyBorder="1" applyAlignment="1">
      <alignment wrapText="1"/>
    </xf>
    <xf numFmtId="0" fontId="15" fillId="0" borderId="13" xfId="0" applyFont="1" applyBorder="1" applyAlignment="1" applyProtection="1">
      <alignment wrapText="1"/>
      <protection hidden="1"/>
    </xf>
    <xf numFmtId="0" fontId="15" fillId="0" borderId="13" xfId="0" applyFont="1" applyBorder="1" applyAlignment="1" applyProtection="1">
      <alignment vertical="center" wrapText="1"/>
      <protection hidden="1"/>
    </xf>
    <xf numFmtId="0" fontId="0" fillId="0" borderId="0" xfId="0" applyAlignment="1" applyProtection="1">
      <alignment horizontal="left" vertical="top" wrapText="1"/>
      <protection hidden="1"/>
    </xf>
    <xf numFmtId="3" fontId="15"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0" fontId="41" fillId="0" borderId="0" xfId="0" applyFont="1" applyAlignment="1">
      <alignment horizontal="left" wrapText="1"/>
    </xf>
    <xf numFmtId="0" fontId="29" fillId="0" borderId="1" xfId="0" applyFont="1" applyBorder="1" applyAlignment="1" applyProtection="1">
      <alignment horizontal="left" wrapText="1"/>
      <protection hidden="1"/>
    </xf>
    <xf numFmtId="0" fontId="0" fillId="0" borderId="0" xfId="0" applyAlignment="1">
      <alignment horizontal="left" vertical="center"/>
    </xf>
    <xf numFmtId="0" fontId="6" fillId="0" borderId="0" xfId="0" applyFont="1" applyAlignment="1" applyProtection="1">
      <alignment horizontal="center" wrapText="1"/>
      <protection locked="0"/>
    </xf>
    <xf numFmtId="0" fontId="6" fillId="0" borderId="0" xfId="0" applyFont="1" applyProtection="1">
      <protection locked="0"/>
    </xf>
    <xf numFmtId="0" fontId="7" fillId="0" borderId="0" xfId="0" applyFont="1" applyAlignment="1">
      <alignment horizontal="left"/>
    </xf>
    <xf numFmtId="0" fontId="9" fillId="0" borderId="0" xfId="0" applyFont="1"/>
    <xf numFmtId="0" fontId="0" fillId="0" borderId="9" xfId="0" applyBorder="1"/>
    <xf numFmtId="0" fontId="0" fillId="0" borderId="1" xfId="0" applyBorder="1"/>
    <xf numFmtId="0" fontId="14" fillId="0" borderId="3" xfId="0" applyFont="1" applyBorder="1"/>
    <xf numFmtId="0" fontId="14" fillId="0" borderId="9" xfId="0" applyFont="1" applyBorder="1"/>
    <xf numFmtId="0" fontId="0" fillId="4" borderId="8" xfId="0" applyFill="1" applyBorder="1" applyAlignment="1" applyProtection="1">
      <alignment horizontal="right"/>
      <protection locked="0"/>
    </xf>
    <xf numFmtId="1" fontId="0" fillId="4" borderId="8" xfId="0" applyNumberFormat="1" applyFill="1" applyBorder="1" applyProtection="1">
      <protection locked="0"/>
    </xf>
    <xf numFmtId="3" fontId="0" fillId="4" borderId="8" xfId="0" applyNumberFormat="1" applyFill="1" applyBorder="1" applyProtection="1">
      <protection locked="0"/>
    </xf>
    <xf numFmtId="0" fontId="15" fillId="0" borderId="1" xfId="0" applyFont="1" applyBorder="1" applyAlignment="1" applyProtection="1">
      <alignment vertical="center"/>
      <protection hidden="1"/>
    </xf>
    <xf numFmtId="0" fontId="14" fillId="0" borderId="12" xfId="0" applyFont="1" applyBorder="1"/>
    <xf numFmtId="0" fontId="0" fillId="0" borderId="1" xfId="0" applyBorder="1" applyAlignment="1">
      <alignment horizontal="left" vertical="center"/>
    </xf>
    <xf numFmtId="3" fontId="0" fillId="4" borderId="8" xfId="0" applyNumberFormat="1" applyFill="1" applyBorder="1" applyAlignment="1" applyProtection="1">
      <alignment horizontal="right"/>
      <protection locked="0"/>
    </xf>
    <xf numFmtId="0" fontId="29" fillId="0" borderId="1" xfId="0" applyFont="1" applyBorder="1" applyAlignment="1" applyProtection="1">
      <alignment horizontal="left" vertical="center" wrapText="1"/>
      <protection hidden="1"/>
    </xf>
    <xf numFmtId="0" fontId="34" fillId="0" borderId="1" xfId="0" applyFont="1" applyBorder="1" applyAlignment="1" applyProtection="1">
      <alignment wrapText="1"/>
      <protection hidden="1"/>
    </xf>
    <xf numFmtId="0" fontId="34" fillId="0" borderId="1" xfId="0" applyFont="1" applyBorder="1" applyAlignment="1" applyProtection="1">
      <alignment vertical="center" wrapText="1"/>
      <protection hidden="1"/>
    </xf>
    <xf numFmtId="0" fontId="34" fillId="0" borderId="0" xfId="0" applyFont="1" applyAlignment="1" applyProtection="1">
      <alignment wrapText="1"/>
      <protection hidden="1"/>
    </xf>
    <xf numFmtId="3" fontId="34" fillId="0" borderId="0" xfId="0" applyNumberFormat="1" applyFont="1" applyAlignment="1" applyProtection="1">
      <alignment vertical="center"/>
      <protection hidden="1"/>
    </xf>
    <xf numFmtId="0" fontId="34" fillId="0" borderId="0" xfId="0" applyFont="1" applyAlignment="1" applyProtection="1">
      <alignment vertical="center"/>
      <protection hidden="1"/>
    </xf>
    <xf numFmtId="0" fontId="29" fillId="2" borderId="1" xfId="0" applyFont="1" applyFill="1" applyBorder="1" applyAlignment="1" applyProtection="1">
      <alignment horizontal="left" wrapText="1"/>
      <protection hidden="1"/>
    </xf>
    <xf numFmtId="4" fontId="29" fillId="2" borderId="1" xfId="0" applyNumberFormat="1" applyFont="1" applyFill="1" applyBorder="1" applyAlignment="1" applyProtection="1">
      <alignment horizontal="right" wrapText="1"/>
      <protection hidden="1"/>
    </xf>
    <xf numFmtId="0" fontId="0" fillId="2" borderId="9" xfId="0" applyFill="1" applyBorder="1"/>
    <xf numFmtId="3" fontId="34" fillId="2" borderId="1" xfId="0" applyNumberFormat="1" applyFont="1" applyFill="1" applyBorder="1" applyAlignment="1" applyProtection="1">
      <alignment vertical="center"/>
      <protection hidden="1"/>
    </xf>
    <xf numFmtId="0" fontId="34" fillId="2" borderId="1" xfId="0" applyFont="1" applyFill="1" applyBorder="1" applyAlignment="1" applyProtection="1">
      <alignment vertical="center"/>
      <protection hidden="1"/>
    </xf>
    <xf numFmtId="0" fontId="0" fillId="0" borderId="4" xfId="0" applyBorder="1" applyAlignment="1">
      <alignment vertical="top" wrapText="1"/>
    </xf>
    <xf numFmtId="0" fontId="0" fillId="0" borderId="0" xfId="0" applyAlignment="1">
      <alignment horizontal="right"/>
    </xf>
    <xf numFmtId="0" fontId="29" fillId="0" borderId="10" xfId="0" applyFont="1" applyBorder="1" applyAlignment="1">
      <alignment vertical="center"/>
    </xf>
    <xf numFmtId="0" fontId="14" fillId="0" borderId="10" xfId="0" applyFont="1" applyBorder="1"/>
    <xf numFmtId="0" fontId="0" fillId="0" borderId="15" xfId="0" applyBorder="1" applyAlignment="1" applyProtection="1">
      <alignment vertical="top"/>
      <protection hidden="1"/>
    </xf>
    <xf numFmtId="0" fontId="49" fillId="2" borderId="2" xfId="0" applyFont="1" applyFill="1" applyBorder="1" applyAlignment="1">
      <alignment horizontal="left"/>
    </xf>
    <xf numFmtId="0" fontId="0" fillId="2" borderId="4" xfId="0" applyFill="1" applyBorder="1" applyAlignment="1">
      <alignment horizontal="left" vertical="center"/>
    </xf>
    <xf numFmtId="0" fontId="14" fillId="2" borderId="3" xfId="0" applyFont="1" applyFill="1" applyBorder="1"/>
    <xf numFmtId="0" fontId="14" fillId="2" borderId="5" xfId="0" applyFont="1" applyFill="1" applyBorder="1"/>
    <xf numFmtId="0" fontId="14" fillId="2" borderId="7" xfId="0" applyFont="1" applyFill="1" applyBorder="1"/>
    <xf numFmtId="0" fontId="15" fillId="0" borderId="1" xfId="0" applyFont="1" applyBorder="1" applyProtection="1">
      <protection hidden="1"/>
    </xf>
    <xf numFmtId="2" fontId="15" fillId="0" borderId="1" xfId="0" applyNumberFormat="1" applyFont="1" applyBorder="1" applyAlignment="1" applyProtection="1">
      <alignment vertical="center" wrapText="1"/>
      <protection hidden="1"/>
    </xf>
    <xf numFmtId="0" fontId="24" fillId="0" borderId="0" xfId="0" applyFont="1" applyProtection="1">
      <protection hidden="1"/>
    </xf>
    <xf numFmtId="0" fontId="16" fillId="0" borderId="0" xfId="0" applyFont="1" applyProtection="1">
      <protection hidden="1"/>
    </xf>
    <xf numFmtId="0" fontId="41" fillId="0" borderId="0" xfId="0" applyFont="1" applyAlignment="1">
      <alignment wrapText="1"/>
    </xf>
    <xf numFmtId="0" fontId="42" fillId="0" borderId="0" xfId="0" applyFont="1" applyAlignment="1">
      <alignment vertical="top"/>
    </xf>
    <xf numFmtId="0" fontId="45" fillId="0" borderId="0" xfId="0" applyFont="1" applyAlignment="1">
      <alignment vertical="top"/>
    </xf>
    <xf numFmtId="169" fontId="34" fillId="2" borderId="1" xfId="0" applyNumberFormat="1" applyFont="1" applyFill="1" applyBorder="1" applyAlignment="1" applyProtection="1">
      <alignment vertical="center"/>
      <protection hidden="1"/>
    </xf>
    <xf numFmtId="167" fontId="15" fillId="2" borderId="1" xfId="0" applyNumberFormat="1" applyFont="1" applyFill="1" applyBorder="1" applyAlignment="1" applyProtection="1">
      <alignment vertical="center"/>
      <protection hidden="1"/>
    </xf>
    <xf numFmtId="0" fontId="5" fillId="12" borderId="0" xfId="0" applyFont="1" applyFill="1" applyAlignment="1">
      <alignment horizontal="left"/>
    </xf>
    <xf numFmtId="2" fontId="15" fillId="2" borderId="10" xfId="0" applyNumberFormat="1" applyFont="1" applyFill="1" applyBorder="1" applyAlignment="1" applyProtection="1">
      <alignment vertical="center" wrapText="1"/>
      <protection hidden="1"/>
    </xf>
    <xf numFmtId="0" fontId="0" fillId="4" borderId="6" xfId="0" applyFill="1" applyBorder="1" applyAlignment="1" applyProtection="1">
      <alignment horizontal="right" vertical="center"/>
      <protection locked="0"/>
    </xf>
    <xf numFmtId="0" fontId="0" fillId="4" borderId="2" xfId="0" applyFill="1" applyBorder="1" applyAlignment="1" applyProtection="1">
      <alignment vertical="center"/>
      <protection locked="0"/>
    </xf>
    <xf numFmtId="0" fontId="0" fillId="4" borderId="6" xfId="0" applyFill="1" applyBorder="1" applyAlignment="1" applyProtection="1">
      <alignment vertical="center"/>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2" fontId="0" fillId="6" borderId="8" xfId="0" applyNumberFormat="1" applyFill="1" applyBorder="1" applyProtection="1">
      <protection locked="0"/>
    </xf>
    <xf numFmtId="168" fontId="0" fillId="4" borderId="8" xfId="0" applyNumberFormat="1" applyFill="1" applyBorder="1" applyProtection="1">
      <protection locked="0"/>
    </xf>
    <xf numFmtId="0" fontId="42" fillId="0" borderId="0" xfId="0" applyFont="1" applyAlignment="1" applyProtection="1">
      <alignment vertical="top" wrapText="1"/>
      <protection hidden="1"/>
    </xf>
    <xf numFmtId="7" fontId="15" fillId="0" borderId="0" xfId="0" applyNumberFormat="1" applyFont="1" applyProtection="1">
      <protection hidden="1"/>
    </xf>
    <xf numFmtId="0" fontId="34" fillId="8" borderId="0" xfId="0" applyFont="1" applyFill="1" applyProtection="1">
      <protection hidden="1"/>
    </xf>
    <xf numFmtId="0" fontId="34" fillId="0" borderId="0" xfId="0" applyFont="1" applyProtection="1">
      <protection hidden="1"/>
    </xf>
    <xf numFmtId="0" fontId="35" fillId="8" borderId="0" xfId="0" applyFont="1" applyFill="1" applyProtection="1">
      <protection hidden="1"/>
    </xf>
    <xf numFmtId="166" fontId="35" fillId="8" borderId="0" xfId="0" applyNumberFormat="1" applyFont="1" applyFill="1" applyProtection="1">
      <protection hidden="1"/>
    </xf>
    <xf numFmtId="0" fontId="35" fillId="0" borderId="0" xfId="0" applyFont="1" applyProtection="1">
      <protection hidden="1"/>
    </xf>
    <xf numFmtId="0" fontId="18" fillId="0" borderId="0" xfId="0" applyFont="1" applyProtection="1">
      <protection hidden="1"/>
    </xf>
    <xf numFmtId="166" fontId="35" fillId="0" borderId="0" xfId="0" applyNumberFormat="1" applyFont="1" applyProtection="1">
      <protection hidden="1"/>
    </xf>
    <xf numFmtId="0" fontId="15" fillId="3" borderId="0" xfId="0" applyFont="1" applyFill="1" applyProtection="1">
      <protection hidden="1"/>
    </xf>
    <xf numFmtId="166" fontId="34" fillId="0" borderId="0" xfId="0" applyNumberFormat="1" applyFont="1" applyProtection="1">
      <protection hidden="1"/>
    </xf>
    <xf numFmtId="0" fontId="15" fillId="0" borderId="8" xfId="0" applyFont="1" applyBorder="1" applyProtection="1">
      <protection hidden="1"/>
    </xf>
    <xf numFmtId="7" fontId="15" fillId="2" borderId="9" xfId="0" applyNumberFormat="1" applyFont="1" applyFill="1" applyBorder="1" applyProtection="1">
      <protection hidden="1"/>
    </xf>
    <xf numFmtId="166" fontId="35" fillId="0" borderId="10" xfId="0" applyNumberFormat="1" applyFont="1" applyBorder="1" applyAlignment="1" applyProtection="1">
      <alignment horizontal="right"/>
      <protection hidden="1"/>
    </xf>
    <xf numFmtId="0" fontId="15" fillId="0" borderId="2" xfId="0" applyFont="1" applyBorder="1" applyProtection="1">
      <protection hidden="1"/>
    </xf>
    <xf numFmtId="7" fontId="15" fillId="2" borderId="3" xfId="0" applyNumberFormat="1" applyFont="1" applyFill="1" applyBorder="1" applyProtection="1">
      <protection hidden="1"/>
    </xf>
    <xf numFmtId="0" fontId="15" fillId="0" borderId="4" xfId="0" applyFont="1" applyBorder="1" applyProtection="1">
      <protection hidden="1"/>
    </xf>
    <xf numFmtId="7" fontId="15" fillId="2" borderId="5" xfId="0" applyNumberFormat="1" applyFont="1" applyFill="1" applyBorder="1" applyProtection="1">
      <protection hidden="1"/>
    </xf>
    <xf numFmtId="0" fontId="15" fillId="0" borderId="6" xfId="0" applyFont="1" applyBorder="1" applyProtection="1">
      <protection hidden="1"/>
    </xf>
    <xf numFmtId="7" fontId="15" fillId="2" borderId="7" xfId="0" applyNumberFormat="1" applyFont="1" applyFill="1" applyBorder="1" applyProtection="1">
      <protection hidden="1"/>
    </xf>
    <xf numFmtId="0" fontId="29" fillId="8" borderId="0" xfId="0" applyFont="1" applyFill="1" applyProtection="1">
      <protection hidden="1"/>
    </xf>
    <xf numFmtId="0" fontId="29" fillId="0" borderId="0" xfId="0" applyFont="1" applyProtection="1">
      <protection hidden="1"/>
    </xf>
    <xf numFmtId="7" fontId="0" fillId="0" borderId="0" xfId="0" applyNumberFormat="1" applyProtection="1">
      <protection hidden="1"/>
    </xf>
    <xf numFmtId="164" fontId="35" fillId="8" borderId="0" xfId="0" applyNumberFormat="1" applyFont="1" applyFill="1" applyProtection="1">
      <protection hidden="1"/>
    </xf>
    <xf numFmtId="164" fontId="34" fillId="8" borderId="0" xfId="0" applyNumberFormat="1" applyFont="1" applyFill="1" applyProtection="1">
      <protection hidden="1"/>
    </xf>
    <xf numFmtId="4" fontId="35" fillId="8" borderId="11" xfId="0" applyNumberFormat="1" applyFont="1" applyFill="1" applyBorder="1" applyProtection="1">
      <protection hidden="1"/>
    </xf>
    <xf numFmtId="0" fontId="24" fillId="8" borderId="0" xfId="0" applyFont="1" applyFill="1" applyAlignment="1" applyProtection="1">
      <alignment horizontal="right"/>
      <protection hidden="1"/>
    </xf>
    <xf numFmtId="0" fontId="34" fillId="8" borderId="0" xfId="0" applyFont="1" applyFill="1" applyAlignment="1" applyProtection="1">
      <alignment horizontal="right"/>
      <protection hidden="1"/>
    </xf>
    <xf numFmtId="0" fontId="34" fillId="0" borderId="0" xfId="0" applyFont="1" applyAlignment="1" applyProtection="1">
      <alignment horizontal="right"/>
      <protection hidden="1"/>
    </xf>
    <xf numFmtId="166" fontId="34" fillId="8" borderId="0" xfId="0" applyNumberFormat="1" applyFont="1" applyFill="1" applyProtection="1">
      <protection hidden="1"/>
    </xf>
    <xf numFmtId="166" fontId="35" fillId="8" borderId="11" xfId="0" applyNumberFormat="1" applyFont="1" applyFill="1" applyBorder="1" applyProtection="1">
      <protection hidden="1"/>
    </xf>
    <xf numFmtId="0" fontId="17" fillId="0" borderId="0" xfId="0" applyFont="1" applyProtection="1">
      <protection hidden="1"/>
    </xf>
    <xf numFmtId="0" fontId="30" fillId="8" borderId="0" xfId="0" applyFont="1" applyFill="1" applyProtection="1">
      <protection hidden="1"/>
    </xf>
    <xf numFmtId="166" fontId="30" fillId="8" borderId="0" xfId="0" applyNumberFormat="1" applyFont="1" applyFill="1" applyProtection="1">
      <protection hidden="1"/>
    </xf>
    <xf numFmtId="0" fontId="30" fillId="0" borderId="0" xfId="0" applyFont="1" applyProtection="1">
      <protection hidden="1"/>
    </xf>
    <xf numFmtId="0" fontId="8" fillId="0" borderId="0" xfId="0" applyFont="1" applyProtection="1">
      <protection hidden="1"/>
    </xf>
    <xf numFmtId="3" fontId="0" fillId="0" borderId="0" xfId="0" applyNumberFormat="1" applyProtection="1">
      <protection hidden="1"/>
    </xf>
    <xf numFmtId="166" fontId="15" fillId="2" borderId="0" xfId="0" applyNumberFormat="1" applyFont="1" applyFill="1" applyAlignment="1" applyProtection="1">
      <alignment vertical="center"/>
      <protection hidden="1"/>
    </xf>
    <xf numFmtId="7" fontId="15" fillId="2" borderId="5" xfId="0" applyNumberFormat="1" applyFont="1" applyFill="1" applyBorder="1" applyAlignment="1">
      <alignment vertical="center"/>
    </xf>
    <xf numFmtId="166" fontId="15" fillId="0" borderId="0" xfId="0" applyNumberFormat="1" applyFont="1" applyAlignment="1" applyProtection="1">
      <alignment vertical="center"/>
      <protection hidden="1"/>
    </xf>
    <xf numFmtId="7" fontId="15" fillId="0" borderId="5" xfId="0" applyNumberFormat="1" applyFont="1" applyBorder="1"/>
    <xf numFmtId="0" fontId="8" fillId="0" borderId="0" xfId="0" applyFont="1" applyAlignment="1">
      <alignment vertical="center"/>
    </xf>
    <xf numFmtId="0" fontId="8" fillId="0" borderId="5" xfId="0" applyFont="1" applyBorder="1"/>
    <xf numFmtId="0" fontId="1" fillId="4" borderId="1" xfId="0" applyFont="1" applyFill="1" applyBorder="1" applyAlignment="1">
      <alignment horizontal="center" vertical="center"/>
    </xf>
    <xf numFmtId="0" fontId="6" fillId="11" borderId="0" xfId="0" applyFont="1" applyFill="1" applyProtection="1">
      <protection locked="0"/>
    </xf>
    <xf numFmtId="0" fontId="6" fillId="11" borderId="0" xfId="0" applyFont="1" applyFill="1" applyAlignment="1" applyProtection="1">
      <alignment vertical="top"/>
      <protection locked="0"/>
    </xf>
    <xf numFmtId="0" fontId="6" fillId="11" borderId="0" xfId="0" applyFont="1" applyFill="1" applyAlignment="1" applyProtection="1">
      <alignment vertical="center"/>
      <protection locked="0"/>
    </xf>
    <xf numFmtId="0" fontId="15" fillId="0" borderId="0" xfId="0" applyFont="1" applyAlignment="1">
      <alignment horizontal="left" vertical="center"/>
    </xf>
    <xf numFmtId="7" fontId="15" fillId="0" borderId="5" xfId="0" applyNumberFormat="1" applyFont="1" applyBorder="1" applyAlignment="1">
      <alignment vertical="center"/>
    </xf>
    <xf numFmtId="0" fontId="15" fillId="0" borderId="0" xfId="0" applyFont="1" applyAlignment="1">
      <alignment horizontal="left" vertical="center" wrapText="1"/>
    </xf>
    <xf numFmtId="0" fontId="15" fillId="0" borderId="12" xfId="0" applyFont="1" applyBorder="1" applyProtection="1">
      <protection hidden="1"/>
    </xf>
    <xf numFmtId="166" fontId="15" fillId="0" borderId="12" xfId="0" applyNumberFormat="1" applyFont="1" applyBorder="1" applyProtection="1">
      <protection hidden="1"/>
    </xf>
    <xf numFmtId="0" fontId="15" fillId="0" borderId="10" xfId="0" applyFont="1" applyBorder="1"/>
    <xf numFmtId="0" fontId="15" fillId="0" borderId="11" xfId="0" applyFont="1" applyBorder="1"/>
    <xf numFmtId="0" fontId="18" fillId="0" borderId="12" xfId="0" applyFont="1" applyBorder="1"/>
    <xf numFmtId="0" fontId="15" fillId="0" borderId="0" xfId="0" applyFont="1" applyAlignment="1">
      <alignment vertical="center"/>
    </xf>
    <xf numFmtId="0" fontId="0" fillId="0" borderId="10" xfId="0" applyBorder="1"/>
    <xf numFmtId="0" fontId="0" fillId="0" borderId="11" xfId="0" applyBorder="1"/>
    <xf numFmtId="0" fontId="15" fillId="2" borderId="12" xfId="0" applyFont="1" applyFill="1" applyBorder="1"/>
    <xf numFmtId="0" fontId="24" fillId="0" borderId="0" xfId="0" applyFont="1" applyAlignment="1" applyProtection="1">
      <alignment vertical="top"/>
      <protection hidden="1"/>
    </xf>
    <xf numFmtId="3" fontId="34" fillId="8" borderId="0" xfId="0" applyNumberFormat="1" applyFont="1" applyFill="1"/>
    <xf numFmtId="0" fontId="15" fillId="0" borderId="4" xfId="0" applyFont="1" applyBorder="1" applyAlignment="1">
      <alignment vertical="center"/>
    </xf>
    <xf numFmtId="0" fontId="8" fillId="0" borderId="0" xfId="0" applyFont="1" applyProtection="1">
      <protection locked="0"/>
    </xf>
    <xf numFmtId="164" fontId="0" fillId="0" borderId="1" xfId="0" applyNumberFormat="1" applyBorder="1" applyAlignment="1">
      <alignment horizontal="center" vertical="top"/>
    </xf>
    <xf numFmtId="0" fontId="15" fillId="8" borderId="1" xfId="0" applyFont="1" applyFill="1" applyBorder="1" applyAlignment="1">
      <alignment vertical="top"/>
    </xf>
    <xf numFmtId="168" fontId="15" fillId="2" borderId="1" xfId="0" applyNumberFormat="1" applyFont="1" applyFill="1" applyBorder="1" applyAlignment="1" applyProtection="1">
      <alignment vertical="center"/>
      <protection hidden="1"/>
    </xf>
    <xf numFmtId="2" fontId="0" fillId="0" borderId="1" xfId="0" applyNumberFormat="1" applyBorder="1" applyAlignment="1" applyProtection="1">
      <alignment horizontal="center" vertical="top" wrapText="1"/>
      <protection locked="0"/>
    </xf>
    <xf numFmtId="3" fontId="0" fillId="0" borderId="2" xfId="0" quotePrefix="1" applyNumberFormat="1" applyBorder="1" applyAlignment="1" applyProtection="1">
      <alignment horizontal="center" vertical="top" wrapText="1"/>
      <protection locked="0"/>
    </xf>
    <xf numFmtId="165" fontId="29" fillId="2" borderId="1" xfId="0" applyNumberFormat="1" applyFont="1" applyFill="1" applyBorder="1" applyAlignment="1" applyProtection="1">
      <alignment horizontal="right" wrapText="1"/>
      <protection hidden="1"/>
    </xf>
    <xf numFmtId="168" fontId="0" fillId="0" borderId="1" xfId="0" applyNumberFormat="1" applyBorder="1" applyAlignment="1" applyProtection="1">
      <alignment horizontal="center" vertical="top" wrapText="1"/>
      <protection locked="0"/>
    </xf>
    <xf numFmtId="0" fontId="0" fillId="0" borderId="1" xfId="0" applyBorder="1" applyAlignment="1">
      <alignment horizontal="center" vertical="top"/>
    </xf>
    <xf numFmtId="49" fontId="0" fillId="6" borderId="2" xfId="0" applyNumberFormat="1" applyFill="1" applyBorder="1" applyAlignment="1" applyProtection="1">
      <alignment vertical="center"/>
      <protection locked="0" hidden="1"/>
    </xf>
    <xf numFmtId="49" fontId="0" fillId="6" borderId="10" xfId="0" applyNumberFormat="1" applyFill="1" applyBorder="1" applyAlignment="1" applyProtection="1">
      <alignment vertical="center"/>
      <protection locked="0" hidden="1"/>
    </xf>
    <xf numFmtId="49" fontId="0" fillId="6" borderId="3" xfId="0" applyNumberFormat="1" applyFill="1" applyBorder="1" applyAlignment="1" applyProtection="1">
      <alignment horizontal="left" vertical="center"/>
      <protection locked="0" hidden="1"/>
    </xf>
    <xf numFmtId="0" fontId="34" fillId="6" borderId="11" xfId="0" applyFont="1" applyFill="1" applyBorder="1" applyAlignment="1">
      <alignment vertical="top"/>
    </xf>
    <xf numFmtId="0" fontId="14" fillId="6" borderId="7" xfId="0" applyFont="1" applyFill="1" applyBorder="1"/>
    <xf numFmtId="165" fontId="15" fillId="2" borderId="3" xfId="0" applyNumberFormat="1" applyFont="1" applyFill="1" applyBorder="1" applyProtection="1">
      <protection hidden="1"/>
    </xf>
    <xf numFmtId="0" fontId="0" fillId="13" borderId="1" xfId="0" applyFill="1" applyBorder="1" applyAlignment="1" applyProtection="1">
      <alignment horizontal="center" vertical="center"/>
      <protection locked="0"/>
    </xf>
    <xf numFmtId="4" fontId="0" fillId="6" borderId="0" xfId="0" applyNumberFormat="1" applyFill="1" applyAlignment="1" applyProtection="1">
      <alignment horizontal="right" vertical="center" wrapText="1"/>
      <protection locked="0"/>
    </xf>
    <xf numFmtId="0" fontId="56" fillId="11" borderId="4" xfId="0" applyFont="1" applyFill="1" applyBorder="1"/>
    <xf numFmtId="0" fontId="0" fillId="0" borderId="6" xfId="0" applyBorder="1" applyAlignment="1">
      <alignment horizontal="left"/>
    </xf>
    <xf numFmtId="0" fontId="14" fillId="0" borderId="4" xfId="0" applyFont="1" applyBorder="1"/>
    <xf numFmtId="0" fontId="14" fillId="8" borderId="4" xfId="0" applyFont="1" applyFill="1" applyBorder="1"/>
    <xf numFmtId="0" fontId="6" fillId="11" borderId="12" xfId="0" applyFont="1" applyFill="1" applyBorder="1" applyAlignment="1" applyProtection="1">
      <alignment horizontal="center" wrapText="1"/>
      <protection locked="0"/>
    </xf>
    <xf numFmtId="0" fontId="6" fillId="11" borderId="12" xfId="0" applyFont="1" applyFill="1" applyBorder="1" applyAlignment="1" applyProtection="1">
      <alignment horizontal="center"/>
      <protection locked="0"/>
    </xf>
    <xf numFmtId="0" fontId="6" fillId="11" borderId="9" xfId="0" applyFont="1" applyFill="1" applyBorder="1" applyAlignment="1" applyProtection="1">
      <alignment horizontal="center" wrapText="1"/>
      <protection locked="0"/>
    </xf>
    <xf numFmtId="3" fontId="6" fillId="11" borderId="5" xfId="0" applyNumberFormat="1" applyFont="1" applyFill="1" applyBorder="1" applyProtection="1">
      <protection locked="0"/>
    </xf>
    <xf numFmtId="0" fontId="6" fillId="11" borderId="11" xfId="0" applyFont="1" applyFill="1" applyBorder="1" applyProtection="1">
      <protection locked="0"/>
    </xf>
    <xf numFmtId="0" fontId="6" fillId="11" borderId="11" xfId="0" applyFont="1" applyFill="1" applyBorder="1" applyAlignment="1" applyProtection="1">
      <alignment vertical="center"/>
      <protection locked="0"/>
    </xf>
    <xf numFmtId="3" fontId="6" fillId="11" borderId="7" xfId="0" applyNumberFormat="1" applyFont="1" applyFill="1" applyBorder="1" applyProtection="1">
      <protection locked="0"/>
    </xf>
    <xf numFmtId="0" fontId="14" fillId="8" borderId="0" xfId="0" applyFont="1" applyFill="1" applyBorder="1"/>
    <xf numFmtId="0" fontId="0" fillId="0" borderId="0" xfId="0" applyBorder="1"/>
    <xf numFmtId="0" fontId="14" fillId="0" borderId="0" xfId="0" applyFont="1" applyBorder="1"/>
    <xf numFmtId="0" fontId="0" fillId="8" borderId="0" xfId="0" applyFill="1" applyBorder="1" applyAlignment="1">
      <alignment horizontal="left"/>
    </xf>
    <xf numFmtId="0" fontId="0" fillId="8" borderId="0" xfId="0" applyFill="1" applyBorder="1"/>
    <xf numFmtId="0" fontId="0" fillId="2" borderId="0" xfId="0" applyFill="1" applyBorder="1" applyAlignment="1">
      <alignment horizontal="center" vertical="center"/>
    </xf>
    <xf numFmtId="0" fontId="0" fillId="2" borderId="0" xfId="0" applyFill="1" applyBorder="1" applyAlignment="1">
      <alignment horizontal="righ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horizontal="right" vertical="center"/>
    </xf>
    <xf numFmtId="0" fontId="0" fillId="2" borderId="11" xfId="0" applyFill="1" applyBorder="1" applyAlignment="1">
      <alignment horizontal="left" vertical="center"/>
    </xf>
    <xf numFmtId="0" fontId="56" fillId="11" borderId="5" xfId="0" applyFont="1" applyFill="1" applyBorder="1"/>
    <xf numFmtId="0" fontId="26" fillId="0" borderId="0" xfId="0" applyFont="1" applyAlignment="1">
      <alignment horizontal="left" wrapText="1"/>
    </xf>
    <xf numFmtId="0" fontId="26" fillId="0" borderId="0" xfId="0" applyFont="1" applyAlignment="1">
      <alignment horizontal="left" vertical="top" wrapText="1"/>
    </xf>
    <xf numFmtId="0" fontId="7" fillId="5" borderId="0" xfId="0" applyFont="1" applyFill="1" applyAlignment="1">
      <alignment horizontal="left"/>
    </xf>
    <xf numFmtId="0" fontId="29" fillId="0" borderId="0" xfId="0" applyFont="1" applyAlignment="1">
      <alignment horizontal="left" vertical="center"/>
    </xf>
    <xf numFmtId="0" fontId="0" fillId="0" borderId="0" xfId="0" applyAlignment="1">
      <alignment horizontal="left" wrapText="1"/>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15" fillId="0" borderId="0" xfId="0" applyFont="1" applyAlignment="1" applyProtection="1">
      <alignment horizontal="right"/>
      <protection hidden="1"/>
    </xf>
    <xf numFmtId="0" fontId="26" fillId="0" borderId="0" xfId="0" quotePrefix="1" applyFont="1" applyAlignment="1">
      <alignment horizontal="left" vertical="top" wrapText="1"/>
    </xf>
    <xf numFmtId="0" fontId="26" fillId="0" borderId="0" xfId="0" applyFont="1" applyAlignment="1">
      <alignment horizontal="left" vertical="top" wrapText="1"/>
    </xf>
    <xf numFmtId="0" fontId="26" fillId="7" borderId="4"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0" fontId="26" fillId="7" borderId="11" xfId="0" applyFont="1" applyFill="1" applyBorder="1" applyAlignment="1">
      <alignment horizontal="left" vertical="center" wrapText="1"/>
    </xf>
    <xf numFmtId="0" fontId="26" fillId="7" borderId="7" xfId="0" applyFont="1" applyFill="1" applyBorder="1" applyAlignment="1">
      <alignment horizontal="left" vertical="center" wrapText="1"/>
    </xf>
    <xf numFmtId="0" fontId="12" fillId="5" borderId="2" xfId="0" applyFont="1" applyFill="1" applyBorder="1" applyAlignment="1">
      <alignment horizontal="center"/>
    </xf>
    <xf numFmtId="0" fontId="12" fillId="5" borderId="10" xfId="0" applyFont="1" applyFill="1" applyBorder="1" applyAlignment="1">
      <alignment horizontal="center"/>
    </xf>
    <xf numFmtId="0" fontId="12" fillId="5" borderId="3" xfId="0" applyFont="1" applyFill="1" applyBorder="1" applyAlignment="1">
      <alignment horizontal="center"/>
    </xf>
    <xf numFmtId="0" fontId="12" fillId="5" borderId="4" xfId="0" applyFont="1" applyFill="1" applyBorder="1" applyAlignment="1">
      <alignment horizontal="center"/>
    </xf>
    <xf numFmtId="0" fontId="12" fillId="5" borderId="0" xfId="0" applyFont="1" applyFill="1" applyAlignment="1">
      <alignment horizontal="center"/>
    </xf>
    <xf numFmtId="0" fontId="12" fillId="5" borderId="5" xfId="0" applyFont="1" applyFill="1" applyBorder="1" applyAlignment="1">
      <alignment horizontal="center"/>
    </xf>
    <xf numFmtId="0" fontId="26" fillId="0" borderId="0" xfId="0" applyFont="1" applyAlignment="1">
      <alignment horizontal="left" wrapText="1"/>
    </xf>
    <xf numFmtId="0" fontId="25" fillId="2" borderId="4" xfId="0" applyFont="1" applyFill="1" applyBorder="1" applyAlignment="1">
      <alignment horizontal="center" wrapText="1"/>
    </xf>
    <xf numFmtId="0" fontId="25" fillId="2" borderId="0" xfId="0" applyFont="1" applyFill="1" applyAlignment="1">
      <alignment horizontal="center" wrapText="1"/>
    </xf>
    <xf numFmtId="0" fontId="25" fillId="2" borderId="5" xfId="0" applyFont="1" applyFill="1" applyBorder="1" applyAlignment="1">
      <alignment horizontal="center" wrapText="1"/>
    </xf>
    <xf numFmtId="0" fontId="25" fillId="2" borderId="4" xfId="0" applyFont="1" applyFill="1" applyBorder="1" applyAlignment="1">
      <alignment horizontal="center"/>
    </xf>
    <xf numFmtId="0" fontId="25" fillId="2" borderId="0" xfId="0" applyFont="1" applyFill="1" applyAlignment="1">
      <alignment horizontal="center"/>
    </xf>
    <xf numFmtId="0" fontId="25" fillId="2" borderId="5" xfId="0" applyFont="1" applyFill="1" applyBorder="1" applyAlignment="1">
      <alignment horizontal="center"/>
    </xf>
    <xf numFmtId="0" fontId="25" fillId="2" borderId="4" xfId="0" applyFont="1" applyFill="1" applyBorder="1" applyAlignment="1">
      <alignment horizontal="center" vertical="top" wrapText="1"/>
    </xf>
    <xf numFmtId="0" fontId="25" fillId="2" borderId="0" xfId="0" applyFont="1" applyFill="1" applyAlignment="1">
      <alignment horizontal="center" vertical="top" wrapText="1"/>
    </xf>
    <xf numFmtId="0" fontId="25" fillId="2" borderId="5" xfId="0" applyFont="1" applyFill="1" applyBorder="1" applyAlignment="1">
      <alignment horizontal="center" vertical="top" wrapText="1"/>
    </xf>
    <xf numFmtId="0" fontId="25" fillId="2" borderId="6" xfId="0" applyFont="1" applyFill="1" applyBorder="1" applyAlignment="1">
      <alignment horizontal="center" wrapText="1"/>
    </xf>
    <xf numFmtId="0" fontId="25" fillId="2" borderId="11" xfId="0" applyFont="1" applyFill="1" applyBorder="1" applyAlignment="1">
      <alignment horizontal="center" wrapText="1"/>
    </xf>
    <xf numFmtId="0" fontId="25" fillId="2" borderId="7" xfId="0" applyFont="1" applyFill="1" applyBorder="1" applyAlignment="1">
      <alignment horizontal="center" wrapText="1"/>
    </xf>
    <xf numFmtId="0" fontId="36" fillId="5" borderId="1" xfId="0" applyFont="1" applyFill="1" applyBorder="1" applyAlignment="1">
      <alignment horizontal="center" vertical="top" wrapText="1"/>
    </xf>
    <xf numFmtId="0" fontId="26" fillId="0" borderId="0" xfId="0" applyFont="1" applyAlignment="1">
      <alignment horizontal="left" vertical="center" wrapText="1"/>
    </xf>
    <xf numFmtId="0" fontId="42" fillId="0" borderId="4" xfId="0" applyFont="1" applyBorder="1" applyAlignment="1">
      <alignment horizontal="left" wrapText="1"/>
    </xf>
    <xf numFmtId="0" fontId="42" fillId="0" borderId="0" xfId="0" applyFont="1" applyAlignment="1">
      <alignment horizontal="left" wrapText="1"/>
    </xf>
    <xf numFmtId="0" fontId="0" fillId="0" borderId="1" xfId="0" applyBorder="1" applyAlignment="1" applyProtection="1">
      <alignment horizontal="left" vertical="top" wrapText="1"/>
      <protection locked="0"/>
    </xf>
    <xf numFmtId="0" fontId="5" fillId="7" borderId="1" xfId="0" applyFont="1" applyFill="1" applyBorder="1" applyAlignment="1">
      <alignment horizontal="left"/>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0" xfId="0" applyAlignment="1">
      <alignment horizontal="left" wrapText="1"/>
    </xf>
    <xf numFmtId="0" fontId="0" fillId="11" borderId="0" xfId="0" applyFill="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9" xfId="0" applyFont="1" applyBorder="1" applyAlignment="1">
      <alignment horizontal="left" vertical="center"/>
    </xf>
    <xf numFmtId="0" fontId="0" fillId="0" borderId="5" xfId="0" applyBorder="1" applyAlignment="1">
      <alignment horizontal="left" wrapText="1"/>
    </xf>
    <xf numFmtId="0" fontId="42" fillId="0" borderId="4" xfId="0" applyFont="1" applyBorder="1" applyAlignment="1">
      <alignment horizontal="left" vertical="center" wrapText="1"/>
    </xf>
    <xf numFmtId="0" fontId="42" fillId="0" borderId="0" xfId="0" applyFont="1" applyAlignment="1">
      <alignment horizontal="left" vertical="center" wrapText="1"/>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0" fillId="0" borderId="1" xfId="0" applyBorder="1" applyAlignment="1" applyProtection="1">
      <alignment horizontal="center"/>
      <protection locked="0"/>
    </xf>
    <xf numFmtId="0" fontId="5" fillId="7" borderId="1" xfId="0" applyFont="1" applyFill="1" applyBorder="1" applyAlignment="1">
      <alignment horizontal="left" wrapText="1"/>
    </xf>
    <xf numFmtId="0" fontId="5" fillId="7" borderId="8" xfId="0" applyFont="1" applyFill="1" applyBorder="1" applyAlignment="1">
      <alignment horizontal="left" wrapText="1"/>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0" xfId="0" applyAlignment="1">
      <alignment horizontal="left" vertical="center" wrapText="1"/>
    </xf>
    <xf numFmtId="0" fontId="0" fillId="0" borderId="12" xfId="0" applyBorder="1" applyAlignment="1">
      <alignment horizontal="left"/>
    </xf>
    <xf numFmtId="0" fontId="0" fillId="0" borderId="9" xfId="0" applyBorder="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9" fillId="11" borderId="0" xfId="0" applyFont="1" applyFill="1" applyAlignment="1" applyProtection="1">
      <alignment horizontal="left" vertical="top" wrapText="1"/>
      <protection locked="0"/>
    </xf>
    <xf numFmtId="0" fontId="34" fillId="6" borderId="10" xfId="0" applyFont="1" applyFill="1" applyBorder="1" applyAlignment="1">
      <alignment horizontal="center" vertical="top"/>
    </xf>
    <xf numFmtId="0" fontId="34" fillId="6" borderId="3" xfId="0" applyFont="1" applyFill="1" applyBorder="1" applyAlignment="1">
      <alignment horizontal="center" vertical="top"/>
    </xf>
    <xf numFmtId="0" fontId="34" fillId="6" borderId="2" xfId="0" applyFont="1" applyFill="1" applyBorder="1" applyAlignment="1">
      <alignment horizontal="left" vertical="top" wrapText="1"/>
    </xf>
    <xf numFmtId="0" fontId="34" fillId="6" borderId="10" xfId="0" applyFont="1" applyFill="1" applyBorder="1" applyAlignment="1">
      <alignment horizontal="left" vertical="top" wrapText="1"/>
    </xf>
    <xf numFmtId="0" fontId="24" fillId="6" borderId="6" xfId="0" applyFont="1" applyFill="1" applyBorder="1" applyAlignment="1">
      <alignment horizontal="left" vertical="top" wrapText="1"/>
    </xf>
    <xf numFmtId="0" fontId="24" fillId="6" borderId="11" xfId="0" applyFont="1" applyFill="1" applyBorder="1" applyAlignment="1">
      <alignment horizontal="left" vertical="top" wrapText="1"/>
    </xf>
    <xf numFmtId="0" fontId="10" fillId="5" borderId="0" xfId="0" applyFont="1" applyFill="1" applyAlignment="1">
      <alignment horizontal="center"/>
    </xf>
    <xf numFmtId="0" fontId="7" fillId="5" borderId="0" xfId="0" applyFont="1" applyFill="1" applyAlignment="1">
      <alignment horizontal="left"/>
    </xf>
    <xf numFmtId="0" fontId="6" fillId="0" borderId="0" xfId="0" applyFont="1" applyAlignment="1">
      <alignment horizontal="center"/>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0" fillId="8" borderId="4" xfId="0" applyNumberFormat="1" applyFill="1" applyBorder="1" applyAlignment="1">
      <alignment horizontal="left" vertical="center" wrapText="1"/>
    </xf>
    <xf numFmtId="3" fontId="0" fillId="8" borderId="0" xfId="0" applyNumberFormat="1" applyFill="1" applyAlignment="1">
      <alignment horizontal="left" vertical="center" wrapText="1"/>
    </xf>
    <xf numFmtId="0" fontId="0" fillId="8" borderId="0" xfId="0" applyFill="1" applyAlignment="1">
      <alignment horizontal="left" vertical="center"/>
    </xf>
    <xf numFmtId="0" fontId="5" fillId="12" borderId="0" xfId="0" applyFont="1" applyFill="1" applyAlignment="1" applyProtection="1">
      <alignment horizontal="left" vertical="center" wrapText="1"/>
      <protection hidden="1"/>
    </xf>
    <xf numFmtId="0" fontId="5" fillId="12" borderId="0" xfId="0" applyFont="1" applyFill="1" applyAlignment="1">
      <alignment horizontal="left" wrapText="1"/>
    </xf>
    <xf numFmtId="0" fontId="6" fillId="0" borderId="8" xfId="0" applyFont="1" applyBorder="1" applyAlignment="1">
      <alignment horizontal="center"/>
    </xf>
    <xf numFmtId="0" fontId="6" fillId="0" borderId="9" xfId="0" applyFont="1" applyBorder="1" applyAlignment="1">
      <alignment horizontal="center"/>
    </xf>
    <xf numFmtId="3" fontId="42" fillId="8" borderId="0" xfId="0" applyNumberFormat="1" applyFont="1" applyFill="1" applyAlignment="1">
      <alignment horizontal="left" vertical="top" wrapText="1"/>
    </xf>
    <xf numFmtId="0" fontId="29" fillId="11" borderId="4" xfId="0" applyFont="1" applyFill="1" applyBorder="1" applyAlignment="1" applyProtection="1">
      <alignment horizontal="left" vertical="center"/>
      <protection locked="0"/>
    </xf>
    <xf numFmtId="0" fontId="29" fillId="11" borderId="0" xfId="0" applyFont="1" applyFill="1" applyAlignment="1" applyProtection="1">
      <alignment horizontal="left" vertical="center"/>
      <protection locked="0"/>
    </xf>
    <xf numFmtId="0" fontId="29" fillId="11" borderId="5" xfId="0" applyFont="1" applyFill="1" applyBorder="1" applyAlignment="1" applyProtection="1">
      <alignment horizontal="left" vertical="center"/>
      <protection locked="0"/>
    </xf>
    <xf numFmtId="0" fontId="29" fillId="11" borderId="0" xfId="0" applyFont="1" applyFill="1" applyAlignment="1">
      <alignment horizontal="left" wrapText="1"/>
    </xf>
    <xf numFmtId="0" fontId="42" fillId="0" borderId="0" xfId="0" applyFont="1" applyAlignment="1" applyProtection="1">
      <alignment horizontal="left" vertical="top" wrapText="1"/>
      <protection hidden="1"/>
    </xf>
    <xf numFmtId="0" fontId="42" fillId="6" borderId="0" xfId="0" applyFont="1" applyFill="1" applyAlignment="1" applyProtection="1">
      <alignment horizontal="left" vertical="top" wrapText="1"/>
      <protection hidden="1"/>
    </xf>
    <xf numFmtId="0" fontId="42" fillId="12" borderId="0" xfId="0" applyFont="1" applyFill="1" applyAlignment="1">
      <alignment horizontal="left" wrapText="1"/>
    </xf>
    <xf numFmtId="0" fontId="15" fillId="2" borderId="8" xfId="0" applyFont="1" applyFill="1" applyBorder="1" applyAlignment="1" applyProtection="1">
      <alignment horizontal="left"/>
      <protection hidden="1"/>
    </xf>
    <xf numFmtId="0" fontId="15" fillId="2" borderId="12" xfId="0" applyFont="1" applyFill="1" applyBorder="1" applyAlignment="1" applyProtection="1">
      <alignment horizontal="left"/>
      <protection hidden="1"/>
    </xf>
    <xf numFmtId="0" fontId="15" fillId="2" borderId="9" xfId="0" applyFont="1" applyFill="1" applyBorder="1" applyAlignment="1" applyProtection="1">
      <alignment horizontal="left"/>
      <protection hidden="1"/>
    </xf>
    <xf numFmtId="0" fontId="15" fillId="2" borderId="8" xfId="0" applyFont="1" applyFill="1" applyBorder="1" applyAlignment="1" applyProtection="1">
      <alignment horizontal="left" vertical="center"/>
      <protection hidden="1"/>
    </xf>
    <xf numFmtId="0" fontId="15" fillId="2" borderId="12" xfId="0" applyFont="1" applyFill="1" applyBorder="1" applyAlignment="1" applyProtection="1">
      <alignment horizontal="left" vertical="center"/>
      <protection hidden="1"/>
    </xf>
    <xf numFmtId="0" fontId="15" fillId="2" borderId="9" xfId="0" applyFont="1" applyFill="1" applyBorder="1" applyAlignment="1" applyProtection="1">
      <alignment horizontal="left" vertical="center"/>
      <protection hidden="1"/>
    </xf>
    <xf numFmtId="0" fontId="15" fillId="0" borderId="0" xfId="0" applyFont="1" applyAlignment="1" applyProtection="1">
      <alignment horizontal="right"/>
      <protection hidden="1"/>
    </xf>
    <xf numFmtId="0" fontId="15" fillId="0" borderId="4" xfId="0" applyFont="1" applyBorder="1" applyAlignment="1" applyProtection="1">
      <alignment horizontal="left" wrapText="1"/>
      <protection hidden="1"/>
    </xf>
    <xf numFmtId="0" fontId="15" fillId="0" borderId="0" xfId="0" applyFont="1" applyAlignment="1" applyProtection="1">
      <alignment horizontal="left" wrapText="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0" fillId="0" borderId="10" xfId="0" applyBorder="1" applyAlignment="1" applyProtection="1">
      <alignment horizontal="left" vertical="top" wrapText="1"/>
      <protection hidden="1"/>
    </xf>
    <xf numFmtId="0" fontId="10" fillId="5" borderId="0" xfId="0" applyFont="1" applyFill="1" applyAlignment="1" applyProtection="1">
      <alignment horizontal="center"/>
      <protection hidden="1"/>
    </xf>
    <xf numFmtId="0" fontId="23"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2" fillId="5" borderId="10" xfId="0" applyFont="1" applyFill="1" applyBorder="1" applyAlignment="1" applyProtection="1">
      <alignment horizontal="left" wrapText="1"/>
      <protection hidden="1"/>
    </xf>
    <xf numFmtId="0" fontId="2" fillId="5" borderId="3" xfId="0" applyFont="1" applyFill="1" applyBorder="1" applyAlignment="1" applyProtection="1">
      <alignment horizontal="left" wrapText="1"/>
      <protection hidden="1"/>
    </xf>
    <xf numFmtId="7" fontId="17" fillId="0" borderId="10" xfId="0" applyNumberFormat="1" applyFont="1" applyBorder="1" applyAlignment="1" applyProtection="1">
      <alignment horizontal="left" vertical="top" wrapText="1"/>
      <protection hidden="1"/>
    </xf>
    <xf numFmtId="0" fontId="15" fillId="3" borderId="0" xfId="0" applyFont="1" applyFill="1" applyAlignment="1" applyProtection="1">
      <alignment horizontal="center"/>
      <protection hidden="1"/>
    </xf>
    <xf numFmtId="0" fontId="18" fillId="3" borderId="8" xfId="0" applyFont="1" applyFill="1" applyBorder="1" applyAlignment="1" applyProtection="1">
      <alignment horizontal="center"/>
      <protection hidden="1"/>
    </xf>
    <xf numFmtId="0" fontId="18" fillId="3" borderId="12" xfId="0" applyFont="1" applyFill="1" applyBorder="1" applyAlignment="1" applyProtection="1">
      <alignment horizontal="center"/>
      <protection hidden="1"/>
    </xf>
    <xf numFmtId="0" fontId="18" fillId="3" borderId="9" xfId="0" applyFont="1" applyFill="1" applyBorder="1" applyAlignment="1" applyProtection="1">
      <alignment horizontal="center"/>
      <protection hidden="1"/>
    </xf>
    <xf numFmtId="0" fontId="15" fillId="3" borderId="10" xfId="0" applyFont="1" applyFill="1" applyBorder="1" applyAlignment="1" applyProtection="1">
      <alignment horizontal="left"/>
      <protection hidden="1"/>
    </xf>
    <xf numFmtId="0" fontId="15" fillId="3" borderId="0" xfId="0" applyFont="1" applyFill="1" applyAlignment="1" applyProtection="1">
      <alignment horizontal="left"/>
      <protection hidden="1"/>
    </xf>
    <xf numFmtId="0" fontId="7" fillId="5" borderId="0" xfId="0" applyFont="1" applyFill="1" applyAlignment="1">
      <alignment horizontal="center"/>
    </xf>
    <xf numFmtId="0" fontId="15" fillId="0" borderId="4" xfId="0" applyFont="1" applyBorder="1" applyAlignment="1">
      <alignment horizontal="left" wrapText="1"/>
    </xf>
    <xf numFmtId="0" fontId="15" fillId="0" borderId="0" xfId="0" applyFont="1" applyAlignment="1">
      <alignment horizontal="left" wrapText="1"/>
    </xf>
    <xf numFmtId="0" fontId="18" fillId="3" borderId="0" xfId="0" applyFont="1" applyFill="1" applyAlignment="1">
      <alignment horizontal="center" vertical="top"/>
    </xf>
    <xf numFmtId="7" fontId="15" fillId="2" borderId="10" xfId="0" applyNumberFormat="1" applyFont="1" applyFill="1" applyBorder="1" applyAlignment="1">
      <alignment horizontal="left"/>
    </xf>
    <xf numFmtId="7" fontId="15" fillId="2" borderId="3" xfId="0" applyNumberFormat="1" applyFont="1" applyFill="1" applyBorder="1" applyAlignment="1">
      <alignment horizontal="left"/>
    </xf>
    <xf numFmtId="0" fontId="17" fillId="0" borderId="0" xfId="0" applyFont="1" applyAlignment="1" applyProtection="1">
      <alignment horizontal="left" vertical="top" wrapText="1"/>
      <protection hidden="1"/>
    </xf>
    <xf numFmtId="0" fontId="7" fillId="10" borderId="0" xfId="0" applyFont="1" applyFill="1" applyAlignment="1">
      <alignment horizontal="center"/>
    </xf>
    <xf numFmtId="0" fontId="15" fillId="3" borderId="0" xfId="0" applyFont="1" applyFill="1" applyAlignment="1">
      <alignment horizontal="center"/>
    </xf>
    <xf numFmtId="0" fontId="18" fillId="3" borderId="0" xfId="0" applyFont="1" applyFill="1" applyAlignment="1">
      <alignment horizontal="center" wrapText="1"/>
    </xf>
    <xf numFmtId="0" fontId="15" fillId="3" borderId="0" xfId="0" applyFont="1" applyFill="1" applyAlignment="1">
      <alignment horizontal="center" vertical="center" wrapText="1"/>
    </xf>
    <xf numFmtId="0" fontId="18" fillId="3" borderId="0" xfId="0" applyFont="1" applyFill="1" applyAlignment="1">
      <alignment horizontal="center"/>
    </xf>
    <xf numFmtId="0" fontId="15" fillId="3"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6" fmlaLink="P8" fmlaRange="$Q$7:$Q$9" noThreeD="1" sel="2" val="0"/>
</file>

<file path=xl/ctrlProps/ctrlProp10.xml><?xml version="1.0" encoding="utf-8"?>
<formControlPr xmlns="http://schemas.microsoft.com/office/spreadsheetml/2009/9/main" objectType="Radio" noThreeD="1"/>
</file>

<file path=xl/ctrlProps/ctrlProp2.xml><?xml version="1.0" encoding="utf-8"?>
<formControlPr xmlns="http://schemas.microsoft.com/office/spreadsheetml/2009/9/main" objectType="Drop" dropLines="4" dropStyle="combo" dx="16" fmlaLink="P17" fmlaRange="$Q$15:$Q$18" noThreeD="1" sel="2" val="0"/>
</file>

<file path=xl/ctrlProps/ctrlProp3.xml><?xml version="1.0" encoding="utf-8"?>
<formControlPr xmlns="http://schemas.microsoft.com/office/spreadsheetml/2009/9/main" objectType="Drop" dropLines="6" dropStyle="combo" dx="16" fmlaLink="S12" fmlaRange="$R$10:$R$15" noThreeD="1" sel="3" val="0"/>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Lines="2" dropStyle="combo" dx="16" fmlaLink="$P$46" fmlaRange="$Q$45:$Q$46" noThreeD="1" val="0"/>
</file>

<file path=xl/ctrlProps/ctrlProp7.xml><?xml version="1.0" encoding="utf-8"?>
<formControlPr xmlns="http://schemas.microsoft.com/office/spreadsheetml/2009/9/main" objectType="Drop" dropLines="3" dropStyle="combo" dx="16" fmlaLink="$S$8" fmlaRange="$T$7:$T$9" noThreeD="1" sel="3" val="0"/>
</file>

<file path=xl/ctrlProps/ctrlProp8.xml><?xml version="1.0" encoding="utf-8"?>
<formControlPr xmlns="http://schemas.microsoft.com/office/spreadsheetml/2009/9/main" objectType="Radio" checked="Checked" firstButton="1" fmlaLink="$P$26"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3400425</xdr:colOff>
          <xdr:row>3</xdr:row>
          <xdr:rowOff>171450</xdr:rowOff>
        </xdr:from>
        <xdr:to>
          <xdr:col>2</xdr:col>
          <xdr:colOff>609600</xdr:colOff>
          <xdr:row>3</xdr:row>
          <xdr:rowOff>400050</xdr:rowOff>
        </xdr:to>
        <xdr:sp macro="" textlink="">
          <xdr:nvSpPr>
            <xdr:cNvPr id="10270" name="Drop Down 30" hidden="1">
              <a:extLst>
                <a:ext uri="{63B3BB69-23CF-44E3-9099-C40C66FF867C}">
                  <a14:compatExt spid="_x0000_s10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xdr:row>
          <xdr:rowOff>209550</xdr:rowOff>
        </xdr:from>
        <xdr:to>
          <xdr:col>9</xdr:col>
          <xdr:colOff>895350</xdr:colOff>
          <xdr:row>4</xdr:row>
          <xdr:rowOff>19050</xdr:rowOff>
        </xdr:to>
        <xdr:sp macro="" textlink="">
          <xdr:nvSpPr>
            <xdr:cNvPr id="10271" name="Drop Down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9</xdr:row>
          <xdr:rowOff>76200</xdr:rowOff>
        </xdr:from>
        <xdr:to>
          <xdr:col>8</xdr:col>
          <xdr:colOff>800100</xdr:colOff>
          <xdr:row>10</xdr:row>
          <xdr:rowOff>19050</xdr:rowOff>
        </xdr:to>
        <xdr:sp macro="" textlink="">
          <xdr:nvSpPr>
            <xdr:cNvPr id="10275" name="Drop Down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5</xdr:row>
          <xdr:rowOff>123825</xdr:rowOff>
        </xdr:from>
        <xdr:to>
          <xdr:col>12</xdr:col>
          <xdr:colOff>47625</xdr:colOff>
          <xdr:row>6</xdr:row>
          <xdr:rowOff>276225</xdr:rowOff>
        </xdr:to>
        <xdr:sp macro="" textlink="">
          <xdr:nvSpPr>
            <xdr:cNvPr id="10276" name="Button 36" hidden="1">
              <a:extLst>
                <a:ext uri="{63B3BB69-23CF-44E3-9099-C40C66FF867C}">
                  <a14:compatExt spid="_x0000_s10276"/>
                </a:ext>
              </a:extLst>
            </xdr:cNvPr>
            <xdr:cNvSpPr/>
          </xdr:nvSpPr>
          <xdr:spPr>
            <a:xfrm>
              <a:off x="0" y="0"/>
              <a:ext cx="0" cy="0"/>
            </a:xfrm>
            <a:prstGeom prst="rect">
              <a:avLst/>
            </a:prstGeom>
          </xdr:spPr>
          <xdr:txBody>
            <a:bodyPr vertOverflow="clip" wrap="square" lIns="64008" tIns="64008" rIns="64008" bIns="64008" anchor="ctr" upright="1"/>
            <a:lstStyle/>
            <a:p>
              <a:pPr algn="ctr" rtl="0">
                <a:defRPr sz="1000"/>
              </a:pPr>
              <a:r>
                <a:rPr lang="en-US" sz="1600" b="0" i="0" u="none" strike="noStrike" baseline="0">
                  <a:solidFill>
                    <a:srgbClr val="000080"/>
                  </a:solidFill>
                  <a:latin typeface="Calibri"/>
                  <a:cs typeface="Calibri"/>
                </a:rPr>
                <a:t>Reset Form</a:t>
              </a:r>
            </a:p>
          </xdr:txBody>
        </xdr:sp>
        <xdr:clientData fLocksWithSheet="0" fPrintsWithSheet="0"/>
      </xdr:twoCellAnchor>
    </mc:Choice>
    <mc:Fallback/>
  </mc:AlternateContent>
  <xdr:oneCellAnchor>
    <xdr:from>
      <xdr:col>16</xdr:col>
      <xdr:colOff>0</xdr:colOff>
      <xdr:row>12</xdr:row>
      <xdr:rowOff>0</xdr:rowOff>
    </xdr:from>
    <xdr:ext cx="184731" cy="264560"/>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4775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10</xdr:col>
          <xdr:colOff>485775</xdr:colOff>
          <xdr:row>22</xdr:row>
          <xdr:rowOff>9525</xdr:rowOff>
        </xdr:from>
        <xdr:to>
          <xdr:col>11</xdr:col>
          <xdr:colOff>714375</xdr:colOff>
          <xdr:row>22</xdr:row>
          <xdr:rowOff>381000</xdr:rowOff>
        </xdr:to>
        <xdr:sp macro="" textlink="">
          <xdr:nvSpPr>
            <xdr:cNvPr id="10280" name="Button 40" hidden="1">
              <a:extLst>
                <a:ext uri="{63B3BB69-23CF-44E3-9099-C40C66FF867C}">
                  <a14:compatExt spid="_x0000_s10280"/>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Calculate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45</xdr:row>
          <xdr:rowOff>200025</xdr:rowOff>
        </xdr:from>
        <xdr:to>
          <xdr:col>2</xdr:col>
          <xdr:colOff>828675</xdr:colOff>
          <xdr:row>47</xdr:row>
          <xdr:rowOff>38100</xdr:rowOff>
        </xdr:to>
        <xdr:sp macro="" textlink="">
          <xdr:nvSpPr>
            <xdr:cNvPr id="10281" name="Drop Down 41" hidden="1">
              <a:extLst>
                <a:ext uri="{63B3BB69-23CF-44E3-9099-C40C66FF867C}">
                  <a14:compatExt spid="_x0000_s10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4</xdr:row>
          <xdr:rowOff>114300</xdr:rowOff>
        </xdr:from>
        <xdr:to>
          <xdr:col>2</xdr:col>
          <xdr:colOff>628650</xdr:colOff>
          <xdr:row>5</xdr:row>
          <xdr:rowOff>19050</xdr:rowOff>
        </xdr:to>
        <xdr:sp macro="" textlink="">
          <xdr:nvSpPr>
            <xdr:cNvPr id="10282" name="Drop Down 42" hidden="1">
              <a:extLst>
                <a:ext uri="{63B3BB69-23CF-44E3-9099-C40C66FF867C}">
                  <a14:compatExt spid="_x0000_s10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24</xdr:row>
          <xdr:rowOff>114300</xdr:rowOff>
        </xdr:from>
        <xdr:to>
          <xdr:col>12</xdr:col>
          <xdr:colOff>752475</xdr:colOff>
          <xdr:row>24</xdr:row>
          <xdr:rowOff>381000</xdr:rowOff>
        </xdr:to>
        <xdr:sp macro="" textlink="">
          <xdr:nvSpPr>
            <xdr:cNvPr id="10286" name="Option Button 46" hidden="1">
              <a:extLst>
                <a:ext uri="{63B3BB69-23CF-44E3-9099-C40C66FF867C}">
                  <a14:compatExt spid="_x0000_s10286"/>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Method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24</xdr:row>
          <xdr:rowOff>276225</xdr:rowOff>
        </xdr:from>
        <xdr:to>
          <xdr:col>12</xdr:col>
          <xdr:colOff>514350</xdr:colOff>
          <xdr:row>24</xdr:row>
          <xdr:rowOff>657225</xdr:rowOff>
        </xdr:to>
        <xdr:sp macro="" textlink="">
          <xdr:nvSpPr>
            <xdr:cNvPr id="10287" name="Option Button 47" hidden="1">
              <a:extLst>
                <a:ext uri="{63B3BB69-23CF-44E3-9099-C40C66FF867C}">
                  <a14:compatExt spid="_x0000_s10287"/>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Method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24</xdr:row>
          <xdr:rowOff>552450</xdr:rowOff>
        </xdr:from>
        <xdr:to>
          <xdr:col>12</xdr:col>
          <xdr:colOff>790575</xdr:colOff>
          <xdr:row>24</xdr:row>
          <xdr:rowOff>800100</xdr:rowOff>
        </xdr:to>
        <xdr:sp macro="" textlink="">
          <xdr:nvSpPr>
            <xdr:cNvPr id="10288" name="Option Button 48" hidden="1">
              <a:extLst>
                <a:ext uri="{63B3BB69-23CF-44E3-9099-C40C66FF867C}">
                  <a14:compatExt spid="_x0000_s10288"/>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Not applicable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0"/>
  <sheetViews>
    <sheetView showGridLines="0" tabSelected="1" zoomScaleNormal="100" zoomScaleSheetLayoutView="140" workbookViewId="0">
      <selection sqref="A1:O1"/>
    </sheetView>
  </sheetViews>
  <sheetFormatPr defaultRowHeight="14.25" x14ac:dyDescent="0.45"/>
  <cols>
    <col min="13" max="13" width="34.86328125" customWidth="1"/>
  </cols>
  <sheetData>
    <row r="1" spans="1:15" ht="23.25" x14ac:dyDescent="0.35">
      <c r="A1" s="352" t="s">
        <v>0</v>
      </c>
      <c r="B1" s="353"/>
      <c r="C1" s="353"/>
      <c r="D1" s="353"/>
      <c r="E1" s="353"/>
      <c r="F1" s="353"/>
      <c r="G1" s="353"/>
      <c r="H1" s="353"/>
      <c r="I1" s="353"/>
      <c r="J1" s="353"/>
      <c r="K1" s="353"/>
      <c r="L1" s="353"/>
      <c r="M1" s="353"/>
      <c r="N1" s="353"/>
      <c r="O1" s="354"/>
    </row>
    <row r="2" spans="1:15" ht="23.25" x14ac:dyDescent="0.35">
      <c r="A2" s="355" t="s">
        <v>1</v>
      </c>
      <c r="B2" s="356"/>
      <c r="C2" s="356"/>
      <c r="D2" s="356"/>
      <c r="E2" s="356"/>
      <c r="F2" s="356"/>
      <c r="G2" s="356"/>
      <c r="H2" s="356"/>
      <c r="I2" s="356"/>
      <c r="J2" s="356"/>
      <c r="K2" s="356"/>
      <c r="L2" s="356"/>
      <c r="M2" s="356"/>
      <c r="N2" s="356"/>
      <c r="O2" s="357"/>
    </row>
    <row r="3" spans="1:15" s="9" customFormat="1" ht="22.5" customHeight="1" x14ac:dyDescent="0.3">
      <c r="A3" s="359" t="s">
        <v>2</v>
      </c>
      <c r="B3" s="360"/>
      <c r="C3" s="360"/>
      <c r="D3" s="360"/>
      <c r="E3" s="360"/>
      <c r="F3" s="360"/>
      <c r="G3" s="360"/>
      <c r="H3" s="360"/>
      <c r="I3" s="360"/>
      <c r="J3" s="360"/>
      <c r="K3" s="360"/>
      <c r="L3" s="360"/>
      <c r="M3" s="360"/>
      <c r="N3" s="360"/>
      <c r="O3" s="361"/>
    </row>
    <row r="4" spans="1:15" s="9" customFormat="1" ht="18.75" x14ac:dyDescent="0.3">
      <c r="A4" s="362" t="s">
        <v>3</v>
      </c>
      <c r="B4" s="363"/>
      <c r="C4" s="363"/>
      <c r="D4" s="363"/>
      <c r="E4" s="363"/>
      <c r="F4" s="363"/>
      <c r="G4" s="363"/>
      <c r="H4" s="363"/>
      <c r="I4" s="363"/>
      <c r="J4" s="363"/>
      <c r="K4" s="363"/>
      <c r="L4" s="363"/>
      <c r="M4" s="363"/>
      <c r="N4" s="363"/>
      <c r="O4" s="364"/>
    </row>
    <row r="5" spans="1:15" s="9" customFormat="1" ht="18.75" customHeight="1" x14ac:dyDescent="0.3">
      <c r="A5" s="365" t="s">
        <v>4</v>
      </c>
      <c r="B5" s="366"/>
      <c r="C5" s="366"/>
      <c r="D5" s="366"/>
      <c r="E5" s="366"/>
      <c r="F5" s="366"/>
      <c r="G5" s="366"/>
      <c r="H5" s="366"/>
      <c r="I5" s="366"/>
      <c r="J5" s="366"/>
      <c r="K5" s="366"/>
      <c r="L5" s="366"/>
      <c r="M5" s="366"/>
      <c r="N5" s="366"/>
      <c r="O5" s="367"/>
    </row>
    <row r="6" spans="1:15" s="9" customFormat="1" ht="18.75" customHeight="1" x14ac:dyDescent="0.3">
      <c r="A6" s="365" t="s">
        <v>5</v>
      </c>
      <c r="B6" s="366"/>
      <c r="C6" s="366"/>
      <c r="D6" s="366"/>
      <c r="E6" s="366"/>
      <c r="F6" s="366"/>
      <c r="G6" s="366"/>
      <c r="H6" s="366"/>
      <c r="I6" s="366"/>
      <c r="J6" s="366"/>
      <c r="K6" s="366"/>
      <c r="L6" s="366"/>
      <c r="M6" s="366"/>
      <c r="N6" s="366"/>
      <c r="O6" s="367"/>
    </row>
    <row r="7" spans="1:15" s="9" customFormat="1" ht="18.75" x14ac:dyDescent="0.3">
      <c r="A7" s="368" t="s">
        <v>6</v>
      </c>
      <c r="B7" s="369"/>
      <c r="C7" s="369"/>
      <c r="D7" s="369"/>
      <c r="E7" s="369"/>
      <c r="F7" s="369"/>
      <c r="G7" s="369"/>
      <c r="H7" s="369"/>
      <c r="I7" s="369"/>
      <c r="J7" s="369"/>
      <c r="K7" s="369"/>
      <c r="L7" s="369"/>
      <c r="M7" s="369"/>
      <c r="N7" s="369"/>
      <c r="O7" s="370"/>
    </row>
    <row r="9" spans="1:15" s="13" customFormat="1" ht="69" customHeight="1" x14ac:dyDescent="0.25">
      <c r="B9" s="358" t="s">
        <v>7</v>
      </c>
      <c r="C9" s="358"/>
      <c r="D9" s="358"/>
      <c r="E9" s="358"/>
      <c r="F9" s="358"/>
      <c r="G9" s="358"/>
      <c r="H9" s="358"/>
      <c r="I9" s="358"/>
      <c r="J9" s="358"/>
      <c r="K9" s="358"/>
      <c r="L9" s="358"/>
      <c r="M9" s="358"/>
      <c r="N9" s="358"/>
      <c r="O9" s="22"/>
    </row>
    <row r="10" spans="1:15" s="13" customFormat="1" ht="15.75" x14ac:dyDescent="0.25"/>
    <row r="11" spans="1:15" s="13" customFormat="1" ht="84" customHeight="1" x14ac:dyDescent="0.25">
      <c r="B11" s="345" t="s">
        <v>8</v>
      </c>
      <c r="C11" s="345"/>
      <c r="D11" s="345"/>
      <c r="E11" s="345"/>
      <c r="F11" s="345"/>
      <c r="G11" s="345"/>
      <c r="H11" s="345"/>
      <c r="I11" s="345"/>
      <c r="J11" s="345"/>
      <c r="K11" s="345"/>
      <c r="L11" s="345"/>
      <c r="M11" s="345"/>
      <c r="N11" s="345"/>
    </row>
    <row r="12" spans="1:15" s="13" customFormat="1" ht="18.75" customHeight="1" x14ac:dyDescent="0.25">
      <c r="B12" s="336"/>
      <c r="C12" s="336"/>
      <c r="D12" s="336"/>
      <c r="E12" s="336"/>
      <c r="F12" s="336"/>
      <c r="G12" s="336"/>
      <c r="H12" s="336"/>
      <c r="I12" s="336"/>
      <c r="J12" s="336"/>
      <c r="K12" s="336"/>
      <c r="L12" s="336"/>
      <c r="M12" s="336"/>
      <c r="N12" s="336"/>
    </row>
    <row r="13" spans="1:15" s="13" customFormat="1" ht="18.75" customHeight="1" x14ac:dyDescent="0.25">
      <c r="B13" s="345" t="s">
        <v>9</v>
      </c>
      <c r="C13" s="345"/>
      <c r="D13" s="345"/>
      <c r="E13" s="345"/>
      <c r="F13" s="345"/>
      <c r="G13" s="345"/>
      <c r="H13" s="345"/>
      <c r="I13" s="345"/>
      <c r="J13" s="345"/>
      <c r="K13" s="345"/>
      <c r="L13" s="345"/>
      <c r="M13" s="345"/>
      <c r="N13" s="345"/>
    </row>
    <row r="14" spans="1:15" s="13" customFormat="1" ht="18.75" customHeight="1" x14ac:dyDescent="0.25">
      <c r="B14" s="336"/>
      <c r="C14" s="336"/>
      <c r="D14" s="336"/>
      <c r="E14" s="336"/>
      <c r="F14" s="336"/>
      <c r="G14" s="336"/>
      <c r="H14" s="336"/>
      <c r="I14" s="336"/>
      <c r="J14" s="336"/>
      <c r="K14" s="336"/>
      <c r="L14" s="336"/>
      <c r="M14" s="336"/>
      <c r="N14" s="336"/>
    </row>
    <row r="15" spans="1:15" s="13" customFormat="1" ht="18.75" customHeight="1" x14ac:dyDescent="0.25">
      <c r="B15" s="26" t="s">
        <v>10</v>
      </c>
      <c r="C15" s="344" t="s">
        <v>11</v>
      </c>
      <c r="D15" s="344"/>
      <c r="E15" s="344"/>
      <c r="F15" s="344"/>
      <c r="G15" s="344"/>
      <c r="H15" s="344"/>
      <c r="I15" s="344"/>
      <c r="J15" s="344"/>
      <c r="K15" s="344"/>
      <c r="L15" s="344"/>
      <c r="M15" s="344"/>
      <c r="N15" s="336"/>
    </row>
    <row r="16" spans="1:15" s="13" customFormat="1" ht="18.75" customHeight="1" x14ac:dyDescent="0.25">
      <c r="B16" s="26" t="s">
        <v>12</v>
      </c>
      <c r="C16" s="344" t="s">
        <v>13</v>
      </c>
      <c r="D16" s="344"/>
      <c r="E16" s="344"/>
      <c r="F16" s="344"/>
      <c r="G16" s="344"/>
      <c r="H16" s="344"/>
      <c r="I16" s="344"/>
      <c r="J16" s="344"/>
      <c r="K16" s="344"/>
      <c r="L16" s="344"/>
      <c r="M16" s="344"/>
      <c r="N16" s="336"/>
    </row>
    <row r="17" spans="2:14" s="13" customFormat="1" ht="18.75" customHeight="1" x14ac:dyDescent="0.25">
      <c r="B17" s="26" t="s">
        <v>14</v>
      </c>
      <c r="C17" s="345" t="s">
        <v>15</v>
      </c>
      <c r="D17" s="345"/>
      <c r="E17" s="345"/>
      <c r="F17" s="345"/>
      <c r="G17" s="345"/>
      <c r="H17" s="345"/>
      <c r="I17" s="345"/>
      <c r="J17" s="345"/>
      <c r="K17" s="345"/>
      <c r="L17" s="345"/>
      <c r="M17" s="345"/>
      <c r="N17" s="336"/>
    </row>
    <row r="18" spans="2:14" s="13" customFormat="1" ht="16.5" customHeight="1" x14ac:dyDescent="0.5">
      <c r="B18" s="26" t="s">
        <v>16</v>
      </c>
      <c r="C18" s="345" t="s">
        <v>17</v>
      </c>
      <c r="D18" s="345"/>
      <c r="E18" s="345"/>
      <c r="F18" s="345"/>
      <c r="G18" s="345"/>
      <c r="H18" s="345"/>
      <c r="I18" s="345"/>
      <c r="J18" s="345"/>
      <c r="K18" s="345"/>
      <c r="L18" s="345"/>
      <c r="M18" s="345"/>
      <c r="N18" s="336"/>
    </row>
    <row r="19" spans="2:14" s="13" customFormat="1" ht="17.25" customHeight="1" x14ac:dyDescent="0.5">
      <c r="B19" s="336"/>
      <c r="C19" s="336"/>
      <c r="D19" s="336"/>
      <c r="E19" s="336"/>
      <c r="F19" s="336"/>
      <c r="G19" s="336"/>
      <c r="H19" s="336"/>
      <c r="I19" s="336"/>
      <c r="J19" s="336"/>
      <c r="K19" s="336"/>
      <c r="L19" s="336"/>
      <c r="M19" s="336"/>
      <c r="N19" s="336"/>
    </row>
    <row r="20" spans="2:14" s="13" customFormat="1" ht="170.25" customHeight="1" x14ac:dyDescent="0.5">
      <c r="B20" s="372" t="s">
        <v>18</v>
      </c>
      <c r="C20" s="372"/>
      <c r="D20" s="372"/>
      <c r="E20" s="372"/>
      <c r="F20" s="372"/>
      <c r="G20" s="372"/>
      <c r="H20" s="372"/>
      <c r="I20" s="372"/>
      <c r="J20" s="372"/>
      <c r="K20" s="372"/>
      <c r="L20" s="372"/>
      <c r="M20" s="372"/>
      <c r="N20" s="372"/>
    </row>
    <row r="21" spans="2:14" s="13" customFormat="1" ht="19.5" customHeight="1" x14ac:dyDescent="0.5">
      <c r="B21" s="335"/>
      <c r="C21" s="335"/>
      <c r="D21" s="335"/>
      <c r="E21" s="335"/>
      <c r="F21" s="335"/>
      <c r="G21" s="335"/>
      <c r="H21" s="335"/>
      <c r="I21" s="335"/>
      <c r="J21" s="335"/>
      <c r="K21" s="335"/>
      <c r="L21" s="335"/>
      <c r="M21" s="335"/>
      <c r="N21" s="335"/>
    </row>
    <row r="22" spans="2:14" s="13" customFormat="1" ht="21" customHeight="1" x14ac:dyDescent="0.5">
      <c r="B22" s="371" t="s">
        <v>19</v>
      </c>
      <c r="C22" s="371"/>
      <c r="D22" s="371"/>
      <c r="E22" s="371"/>
      <c r="F22" s="371"/>
      <c r="G22" s="371"/>
      <c r="H22" s="371"/>
      <c r="I22" s="371"/>
      <c r="J22" s="371"/>
      <c r="K22" s="371"/>
      <c r="L22" s="371"/>
      <c r="M22" s="371"/>
      <c r="N22" s="371"/>
    </row>
    <row r="23" spans="2:14" ht="51.75" customHeight="1" x14ac:dyDescent="0.45">
      <c r="B23" s="346" t="s">
        <v>20</v>
      </c>
      <c r="C23" s="347"/>
      <c r="D23" s="347"/>
      <c r="E23" s="347"/>
      <c r="F23" s="347"/>
      <c r="G23" s="347"/>
      <c r="H23" s="347"/>
      <c r="I23" s="347"/>
      <c r="J23" s="347"/>
      <c r="K23" s="347"/>
      <c r="L23" s="347"/>
      <c r="M23" s="347"/>
      <c r="N23" s="348"/>
    </row>
    <row r="24" spans="2:14" ht="60" customHeight="1" x14ac:dyDescent="0.45">
      <c r="B24" s="346" t="s">
        <v>21</v>
      </c>
      <c r="C24" s="347"/>
      <c r="D24" s="347"/>
      <c r="E24" s="347"/>
      <c r="F24" s="347"/>
      <c r="G24" s="347"/>
      <c r="H24" s="347"/>
      <c r="I24" s="347"/>
      <c r="J24" s="347"/>
      <c r="K24" s="347"/>
      <c r="L24" s="347"/>
      <c r="M24" s="347"/>
      <c r="N24" s="348"/>
    </row>
    <row r="25" spans="2:14" ht="115.5" customHeight="1" x14ac:dyDescent="0.45">
      <c r="B25" s="346" t="s">
        <v>22</v>
      </c>
      <c r="C25" s="347"/>
      <c r="D25" s="347"/>
      <c r="E25" s="347"/>
      <c r="F25" s="347"/>
      <c r="G25" s="347"/>
      <c r="H25" s="347"/>
      <c r="I25" s="347"/>
      <c r="J25" s="347"/>
      <c r="K25" s="347"/>
      <c r="L25" s="347"/>
      <c r="M25" s="347"/>
      <c r="N25" s="348"/>
    </row>
    <row r="26" spans="2:14" s="42" customFormat="1" ht="117.75" customHeight="1" x14ac:dyDescent="0.45">
      <c r="B26" s="346" t="s">
        <v>23</v>
      </c>
      <c r="C26" s="347"/>
      <c r="D26" s="347"/>
      <c r="E26" s="347"/>
      <c r="F26" s="347"/>
      <c r="G26" s="347"/>
      <c r="H26" s="347"/>
      <c r="I26" s="347"/>
      <c r="J26" s="347"/>
      <c r="K26" s="347"/>
      <c r="L26" s="347"/>
      <c r="M26" s="347"/>
      <c r="N26" s="348"/>
    </row>
    <row r="27" spans="2:14" s="42" customFormat="1" ht="52.5" customHeight="1" x14ac:dyDescent="0.45">
      <c r="B27" s="349" t="s">
        <v>24</v>
      </c>
      <c r="C27" s="350"/>
      <c r="D27" s="350"/>
      <c r="E27" s="350"/>
      <c r="F27" s="350"/>
      <c r="G27" s="350"/>
      <c r="H27" s="350"/>
      <c r="I27" s="350"/>
      <c r="J27" s="350"/>
      <c r="K27" s="350"/>
      <c r="L27" s="350"/>
      <c r="M27" s="350"/>
      <c r="N27" s="351"/>
    </row>
    <row r="28" spans="2:14" ht="58.5" customHeight="1" x14ac:dyDescent="0.45">
      <c r="B28" s="25"/>
      <c r="C28" s="25"/>
      <c r="D28" s="25"/>
      <c r="E28" s="25"/>
      <c r="F28" s="25"/>
      <c r="G28" s="25"/>
      <c r="H28" s="25"/>
      <c r="I28" s="25"/>
      <c r="J28" s="25"/>
      <c r="K28" s="25"/>
      <c r="L28" s="25"/>
      <c r="M28" s="25"/>
      <c r="N28" s="25"/>
    </row>
    <row r="29" spans="2:14" ht="19.5" customHeight="1" x14ac:dyDescent="0.45">
      <c r="C29" s="25"/>
      <c r="D29" s="25"/>
      <c r="E29" s="25"/>
      <c r="F29" s="25"/>
      <c r="G29" s="25"/>
      <c r="H29" s="25"/>
      <c r="I29" s="25"/>
      <c r="J29" s="25"/>
      <c r="K29" s="25"/>
      <c r="L29" s="25"/>
      <c r="M29" s="25"/>
      <c r="N29" s="25"/>
    </row>
    <row r="30" spans="2:14" ht="70.5" customHeight="1" x14ac:dyDescent="0.45"/>
  </sheetData>
  <mergeCells count="21">
    <mergeCell ref="B26:N26"/>
    <mergeCell ref="B27:N27"/>
    <mergeCell ref="A1:O1"/>
    <mergeCell ref="A2:O2"/>
    <mergeCell ref="B9:N9"/>
    <mergeCell ref="B11:N11"/>
    <mergeCell ref="B23:N23"/>
    <mergeCell ref="A3:O3"/>
    <mergeCell ref="A4:O4"/>
    <mergeCell ref="A5:O5"/>
    <mergeCell ref="A6:O6"/>
    <mergeCell ref="A7:O7"/>
    <mergeCell ref="B22:N22"/>
    <mergeCell ref="B20:N20"/>
    <mergeCell ref="B13:N13"/>
    <mergeCell ref="C15:M15"/>
    <mergeCell ref="C16:M16"/>
    <mergeCell ref="C17:M17"/>
    <mergeCell ref="C18:M18"/>
    <mergeCell ref="B24:N24"/>
    <mergeCell ref="B25:N25"/>
  </mergeCells>
  <pageMargins left="0.7" right="0.7" top="0.75" bottom="0.75" header="0.3" footer="0.3"/>
  <pageSetup orientation="portrait" r:id="rId1"/>
  <ignoredErrors>
    <ignoredError sqref="B15:B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AD77"/>
  <sheetViews>
    <sheetView showGridLines="0" topLeftCell="A22" zoomScale="80" zoomScaleNormal="80" workbookViewId="0">
      <selection activeCell="F36" sqref="F36"/>
    </sheetView>
  </sheetViews>
  <sheetFormatPr defaultRowHeight="14.25" x14ac:dyDescent="0.45"/>
  <cols>
    <col min="1" max="1" width="7.1328125" customWidth="1"/>
    <col min="2" max="2" width="57.265625" customWidth="1"/>
    <col min="3" max="3" width="16.265625" customWidth="1"/>
    <col min="4" max="4" width="23.73046875" customWidth="1"/>
    <col min="5" max="5" width="5.265625" customWidth="1"/>
    <col min="6" max="6" width="6.86328125" customWidth="1"/>
    <col min="7" max="7" width="7.73046875" customWidth="1"/>
    <col min="8" max="8" width="17.3984375" customWidth="1"/>
    <col min="9" max="9" width="12.265625" customWidth="1"/>
    <col min="10" max="10" width="14.1328125" customWidth="1"/>
    <col min="11" max="11" width="14.3984375" customWidth="1"/>
    <col min="12" max="12" width="11.1328125" style="103" customWidth="1"/>
    <col min="13" max="13" width="12.265625" style="103" customWidth="1"/>
    <col min="14" max="14" width="3.3984375" style="103" customWidth="1"/>
    <col min="15" max="15" width="43.59765625" style="104" customWidth="1"/>
    <col min="16" max="16" width="41.73046875" style="104" customWidth="1"/>
    <col min="17" max="17" width="25.86328125" style="104" customWidth="1"/>
    <col min="18" max="18" width="17" style="104" customWidth="1"/>
    <col min="19" max="19" width="14.265625" style="104" customWidth="1"/>
    <col min="20" max="20" width="20.59765625" style="104" customWidth="1"/>
    <col min="21" max="21" width="12.86328125" style="104" customWidth="1"/>
    <col min="22" max="22" width="12" style="104" customWidth="1"/>
    <col min="23" max="28" width="9.1328125" style="104" customWidth="1"/>
    <col min="29" max="29" width="9.1328125" style="36" customWidth="1"/>
  </cols>
  <sheetData>
    <row r="1" spans="1:30" s="11" customFormat="1" ht="26.25" x14ac:dyDescent="0.4">
      <c r="A1" s="419" t="s">
        <v>25</v>
      </c>
      <c r="B1" s="419"/>
      <c r="C1" s="419"/>
      <c r="D1" s="419"/>
      <c r="E1" s="419"/>
      <c r="F1" s="419"/>
      <c r="G1" s="419"/>
      <c r="H1" s="419"/>
      <c r="I1" s="419"/>
      <c r="J1" s="419"/>
      <c r="K1" s="419"/>
      <c r="L1" s="419"/>
      <c r="M1" s="419"/>
      <c r="N1" s="419"/>
      <c r="O1" s="156"/>
      <c r="P1" s="102"/>
      <c r="Q1" s="102"/>
      <c r="R1" s="102"/>
      <c r="S1" s="102"/>
      <c r="T1" s="102"/>
      <c r="U1" s="102"/>
      <c r="V1" s="102"/>
      <c r="W1" s="102"/>
      <c r="X1" s="102"/>
      <c r="Y1" s="102"/>
      <c r="Z1" s="102"/>
      <c r="AA1" s="102"/>
      <c r="AB1" s="102"/>
      <c r="AC1" s="75"/>
      <c r="AD1" s="39"/>
    </row>
    <row r="2" spans="1:30" ht="15" x14ac:dyDescent="0.25">
      <c r="O2" s="103"/>
      <c r="AD2" s="40"/>
    </row>
    <row r="3" spans="1:30" s="9" customFormat="1" ht="20.25" customHeight="1" x14ac:dyDescent="0.3">
      <c r="A3" s="420" t="s">
        <v>26</v>
      </c>
      <c r="B3" s="420"/>
      <c r="C3" s="420"/>
      <c r="D3" s="420"/>
      <c r="E3" s="420"/>
      <c r="F3" s="420"/>
      <c r="G3" s="420"/>
      <c r="H3" s="420"/>
      <c r="I3" s="420"/>
      <c r="J3" s="420"/>
      <c r="K3" s="420"/>
      <c r="L3" s="420"/>
      <c r="M3" s="420"/>
      <c r="N3" s="420"/>
      <c r="O3" s="157"/>
      <c r="P3" s="105"/>
      <c r="Q3" s="105"/>
      <c r="R3" s="105"/>
      <c r="S3" s="105"/>
      <c r="T3" s="105"/>
      <c r="U3" s="105"/>
      <c r="V3" s="105"/>
      <c r="W3" s="105"/>
      <c r="X3" s="105"/>
      <c r="Y3" s="105"/>
      <c r="Z3" s="105"/>
      <c r="AA3" s="105"/>
      <c r="AB3" s="105"/>
      <c r="AC3" s="38"/>
      <c r="AD3" s="41"/>
    </row>
    <row r="4" spans="1:30" s="8" customFormat="1" ht="33" customHeight="1" x14ac:dyDescent="0.25">
      <c r="A4" s="152" t="s">
        <v>27</v>
      </c>
      <c r="B4" s="153"/>
      <c r="C4" s="153"/>
      <c r="D4" s="153"/>
      <c r="E4" s="153"/>
      <c r="F4" s="152" t="s">
        <v>28</v>
      </c>
      <c r="G4" s="153"/>
      <c r="H4" s="153"/>
      <c r="I4" s="153"/>
      <c r="J4" s="153"/>
      <c r="K4" s="153"/>
      <c r="L4" s="154"/>
      <c r="M4" s="154"/>
      <c r="N4" s="154"/>
      <c r="P4" s="104"/>
      <c r="Q4" s="104"/>
      <c r="R4" s="104"/>
      <c r="S4" s="104"/>
      <c r="T4" s="104"/>
      <c r="U4" s="104"/>
      <c r="V4" s="104"/>
      <c r="W4" s="104"/>
      <c r="X4" s="104"/>
      <c r="Y4" s="104"/>
      <c r="Z4" s="104"/>
      <c r="AA4" s="104"/>
      <c r="AB4" s="104"/>
      <c r="AC4" s="36"/>
      <c r="AD4" s="40"/>
    </row>
    <row r="5" spans="1:30" ht="27" customHeight="1" x14ac:dyDescent="0.25">
      <c r="A5" s="223" t="s">
        <v>29</v>
      </c>
      <c r="B5" s="155"/>
      <c r="C5" s="155"/>
      <c r="D5" s="155"/>
      <c r="E5" s="155"/>
      <c r="F5" s="155"/>
      <c r="G5" s="155"/>
      <c r="H5" s="155"/>
      <c r="I5" s="155"/>
      <c r="J5" s="155"/>
      <c r="K5" s="155"/>
      <c r="L5" s="154"/>
      <c r="M5" s="154"/>
      <c r="N5" s="154"/>
      <c r="O5" s="103"/>
      <c r="AD5" s="40"/>
    </row>
    <row r="6" spans="1:30" ht="21.75" customHeight="1" x14ac:dyDescent="0.25">
      <c r="A6" s="430"/>
      <c r="B6" s="430"/>
      <c r="C6" s="430"/>
      <c r="D6" s="155"/>
      <c r="E6" s="155"/>
      <c r="F6" s="155"/>
      <c r="G6" s="155"/>
      <c r="H6" s="155"/>
      <c r="I6" s="155"/>
      <c r="J6" s="155"/>
      <c r="K6" s="155"/>
      <c r="L6" s="154"/>
      <c r="M6" s="154"/>
      <c r="N6" s="154"/>
      <c r="O6" s="103"/>
      <c r="AD6" s="40"/>
    </row>
    <row r="7" spans="1:30" ht="33.75" customHeight="1" x14ac:dyDescent="0.25">
      <c r="A7" s="429" t="str">
        <f>IF(S8=3, "Please enter a retrofit factor between 0.8 and 1.5 based on the level of difficulty.  Enter 1 for projects of average retrofit difficulty.", " ")</f>
        <v>Please enter a retrofit factor between 0.8 and 1.5 based on the level of difficulty.  Enter 1 for projects of average retrofit difficulty.</v>
      </c>
      <c r="B7" s="429"/>
      <c r="C7" s="429"/>
      <c r="D7" s="309">
        <v>1</v>
      </c>
      <c r="E7" s="440" t="str">
        <f>IF(D7&gt;1, "* NOTE: You must document why a retrofit factor of "&amp;D7&amp;" is appropriate for the proposed project.", " ")</f>
        <v xml:space="preserve"> </v>
      </c>
      <c r="F7" s="440"/>
      <c r="G7" s="440"/>
      <c r="H7" s="440"/>
      <c r="I7" s="440"/>
      <c r="J7" s="155"/>
      <c r="K7" s="155"/>
      <c r="L7" s="154"/>
      <c r="M7" s="154"/>
      <c r="N7" s="154"/>
      <c r="O7" s="103"/>
      <c r="Q7" s="104" t="s">
        <v>30</v>
      </c>
      <c r="AD7" s="40"/>
    </row>
    <row r="8" spans="1:30" ht="38.25" customHeight="1" x14ac:dyDescent="0.25">
      <c r="A8" s="7" t="s">
        <v>31</v>
      </c>
      <c r="C8" s="4"/>
      <c r="D8" s="4"/>
      <c r="E8" s="4"/>
      <c r="F8" s="4"/>
      <c r="G8" s="4"/>
      <c r="H8" s="4"/>
      <c r="I8" s="4"/>
      <c r="J8" s="4"/>
      <c r="K8" s="4"/>
      <c r="O8"/>
      <c r="P8" s="146">
        <v>2</v>
      </c>
      <c r="Q8" s="104" t="s">
        <v>32</v>
      </c>
      <c r="S8" s="147">
        <v>3</v>
      </c>
      <c r="T8" s="104" t="s">
        <v>33</v>
      </c>
      <c r="AD8" s="40"/>
    </row>
    <row r="9" spans="1:30" ht="28.5" customHeight="1" x14ac:dyDescent="0.25">
      <c r="F9" s="303" t="s">
        <v>34</v>
      </c>
      <c r="G9" s="304"/>
      <c r="H9" s="304"/>
      <c r="I9" s="304"/>
      <c r="J9" s="304"/>
      <c r="K9" s="304"/>
      <c r="L9" s="304"/>
      <c r="M9" s="304"/>
      <c r="N9" s="305"/>
      <c r="O9" s="313"/>
      <c r="Q9" s="104" t="s">
        <v>35</v>
      </c>
      <c r="T9" s="104" t="s">
        <v>36</v>
      </c>
      <c r="AD9" s="40"/>
    </row>
    <row r="10" spans="1:30" ht="20.25" customHeight="1" x14ac:dyDescent="0.25">
      <c r="B10" s="49" t="s">
        <v>37</v>
      </c>
      <c r="C10" s="63">
        <v>558</v>
      </c>
      <c r="D10" s="64" t="s">
        <v>38</v>
      </c>
      <c r="F10" s="70" t="s">
        <v>39</v>
      </c>
      <c r="N10" s="106"/>
      <c r="O10" s="313"/>
      <c r="Q10" s="148"/>
      <c r="T10" s="104" t="s">
        <v>40</v>
      </c>
      <c r="V10" s="149">
        <f>IF(I12=" ", "NA",((I12/100)*(64/32)*1000000)/C12)</f>
        <v>0.92907319283933809</v>
      </c>
      <c r="AD10" s="40"/>
    </row>
    <row r="11" spans="1:30" ht="15" x14ac:dyDescent="0.25">
      <c r="B11" s="60"/>
      <c r="C11" t="s">
        <v>30</v>
      </c>
      <c r="F11" s="2"/>
      <c r="N11" s="106"/>
      <c r="O11" s="313"/>
      <c r="Q11" s="148"/>
      <c r="R11" s="104" t="s">
        <v>41</v>
      </c>
      <c r="T11" s="104" t="s">
        <v>42</v>
      </c>
      <c r="V11" s="104">
        <f>IF(V10="NA",1, (IF(V10&lt;3,2,(IF(V10&gt;3,3)))))</f>
        <v>2</v>
      </c>
      <c r="AD11" s="40"/>
    </row>
    <row r="12" spans="1:30" ht="33" customHeight="1" x14ac:dyDescent="0.25">
      <c r="B12" t="s">
        <v>43</v>
      </c>
      <c r="C12" s="61">
        <v>8826</v>
      </c>
      <c r="D12" s="65" t="s">
        <v>44</v>
      </c>
      <c r="F12" s="426" t="s">
        <v>45</v>
      </c>
      <c r="G12" s="427"/>
      <c r="H12" s="427"/>
      <c r="I12" s="310">
        <v>0.41</v>
      </c>
      <c r="J12" s="428" t="s">
        <v>46</v>
      </c>
      <c r="K12" s="428"/>
      <c r="N12" s="106"/>
      <c r="O12" s="313"/>
      <c r="P12" s="146">
        <v>1</v>
      </c>
      <c r="Q12" s="148"/>
      <c r="R12" s="104" t="s">
        <v>47</v>
      </c>
      <c r="S12" s="146">
        <v>3</v>
      </c>
      <c r="T12" s="146"/>
      <c r="AD12" s="40"/>
    </row>
    <row r="13" spans="1:30" ht="27" customHeight="1" x14ac:dyDescent="0.25">
      <c r="A13" s="1"/>
      <c r="B13" s="433" t="str">
        <f>IF(OR(C12=C73, C12=1033,C12=11841,C12=6685,C12=8826,C12=141468),"*HHV value of "&amp;C12&amp;" "&amp;D12&amp;" is a default value. See below for data source. Enter actual HHV for fuel burned, if known. "," ")</f>
        <v xml:space="preserve">*HHV value of 8826 Btu/lb is a default value. See below for data source. Enter actual HHV for fuel burned, if known. </v>
      </c>
      <c r="C13" s="433"/>
      <c r="D13" s="433"/>
      <c r="E13" s="58"/>
      <c r="F13" s="204"/>
      <c r="G13" s="438" t="str">
        <f>IF(P17=2, (IF(OR(I12=0.82,I12=0.41,I12=1.84,I12=C72),"*The sulfur content of "&amp;I12&amp;"% is a default value. See below for data source. Enter actual value, if known.", " ")), " ")</f>
        <v>*The sulfur content of 0.41% is a default value. See below for data source. Enter actual value, if known.</v>
      </c>
      <c r="H13" s="438"/>
      <c r="I13" s="439"/>
      <c r="J13" s="438"/>
      <c r="K13" s="438"/>
      <c r="L13" s="438"/>
      <c r="N13" s="106"/>
      <c r="O13" s="314"/>
      <c r="R13" s="104" t="s">
        <v>48</v>
      </c>
      <c r="AD13" s="40"/>
    </row>
    <row r="14" spans="1:30" ht="19.5" customHeight="1" x14ac:dyDescent="0.25">
      <c r="A14" s="1"/>
      <c r="B14" s="126" t="s">
        <v>49</v>
      </c>
      <c r="C14" s="61">
        <v>2797892</v>
      </c>
      <c r="D14" s="62" t="s">
        <v>50</v>
      </c>
      <c r="F14" s="2"/>
      <c r="M14" s="136"/>
      <c r="N14" s="107"/>
      <c r="O14" s="314"/>
      <c r="R14" s="104" t="s">
        <v>51</v>
      </c>
      <c r="AD14" s="40"/>
    </row>
    <row r="15" spans="1:30" ht="16.5" customHeight="1" x14ac:dyDescent="0.25">
      <c r="C15" t="s">
        <v>30</v>
      </c>
      <c r="F15" s="434" t="s">
        <v>52</v>
      </c>
      <c r="G15" s="435"/>
      <c r="H15" s="435"/>
      <c r="I15" s="435"/>
      <c r="J15" s="435"/>
      <c r="K15" s="435"/>
      <c r="L15" s="435"/>
      <c r="M15" s="435"/>
      <c r="N15" s="436"/>
      <c r="O15" s="314"/>
      <c r="R15" s="104" t="s">
        <v>53</v>
      </c>
      <c r="AD15" s="40"/>
    </row>
    <row r="16" spans="1:30" ht="54.75" customHeight="1" x14ac:dyDescent="0.25">
      <c r="B16" s="177"/>
      <c r="F16" s="311"/>
      <c r="G16" s="437" t="s">
        <v>54</v>
      </c>
      <c r="H16" s="437"/>
      <c r="I16" s="437"/>
      <c r="J16" s="437"/>
      <c r="K16" s="437"/>
      <c r="L16" s="437"/>
      <c r="M16" s="437"/>
      <c r="N16" s="334"/>
      <c r="O16" s="314"/>
      <c r="Q16" s="104" t="s">
        <v>55</v>
      </c>
      <c r="AD16" s="40"/>
    </row>
    <row r="17" spans="1:30" ht="15" customHeight="1" x14ac:dyDescent="0.25">
      <c r="B17" s="42" t="s">
        <v>56</v>
      </c>
      <c r="C17" s="122">
        <v>10</v>
      </c>
      <c r="D17" s="123" t="s">
        <v>57</v>
      </c>
      <c r="F17" s="2"/>
      <c r="J17" s="421"/>
      <c r="K17" s="421"/>
      <c r="L17" s="421"/>
      <c r="N17" s="106"/>
      <c r="O17" s="314"/>
      <c r="P17" s="146">
        <v>2</v>
      </c>
      <c r="Q17" s="104" t="s">
        <v>58</v>
      </c>
      <c r="AD17" s="40"/>
    </row>
    <row r="18" spans="1:30" ht="31.5" customHeight="1" x14ac:dyDescent="0.25">
      <c r="C18" t="s">
        <v>30</v>
      </c>
      <c r="F18" s="2"/>
      <c r="G18" s="431" t="s">
        <v>59</v>
      </c>
      <c r="H18" s="432"/>
      <c r="I18" s="315" t="s">
        <v>60</v>
      </c>
      <c r="J18" s="316" t="s">
        <v>61</v>
      </c>
      <c r="K18" s="317" t="s">
        <v>62</v>
      </c>
      <c r="M18" s="178"/>
      <c r="N18" s="138"/>
      <c r="O18" s="314"/>
      <c r="Q18" s="104" t="s">
        <v>63</v>
      </c>
      <c r="AD18" s="40"/>
    </row>
    <row r="19" spans="1:30" ht="13.5" customHeight="1" x14ac:dyDescent="0.25">
      <c r="B19" t="s">
        <v>64</v>
      </c>
      <c r="C19" s="59" t="s">
        <v>65</v>
      </c>
      <c r="D19" s="128" t="s">
        <v>66</v>
      </c>
      <c r="F19" s="2"/>
      <c r="G19" s="422" t="s">
        <v>41</v>
      </c>
      <c r="H19" s="423"/>
      <c r="I19" s="276">
        <v>0</v>
      </c>
      <c r="J19" s="277">
        <v>1.84</v>
      </c>
      <c r="K19" s="318">
        <v>11841</v>
      </c>
      <c r="M19" s="179"/>
      <c r="N19" s="139"/>
      <c r="O19" s="314"/>
      <c r="AD19" s="40"/>
    </row>
    <row r="20" spans="1:30" ht="15" x14ac:dyDescent="0.25">
      <c r="C20" s="5" t="s">
        <v>55</v>
      </c>
      <c r="D20" s="129" t="s">
        <v>67</v>
      </c>
      <c r="F20" s="2"/>
      <c r="G20" s="424" t="s">
        <v>47</v>
      </c>
      <c r="H20" s="425"/>
      <c r="I20" s="276">
        <v>0</v>
      </c>
      <c r="J20" s="278">
        <v>0.41</v>
      </c>
      <c r="K20" s="318">
        <v>8826</v>
      </c>
      <c r="M20" s="179"/>
      <c r="N20" s="139"/>
      <c r="O20" s="314"/>
      <c r="P20" s="149"/>
      <c r="AD20" s="40"/>
    </row>
    <row r="21" spans="1:30" ht="15" x14ac:dyDescent="0.25">
      <c r="C21" s="5" t="s">
        <v>58</v>
      </c>
      <c r="D21" s="130" t="s">
        <v>68</v>
      </c>
      <c r="F21" s="2"/>
      <c r="G21" s="410" t="s">
        <v>48</v>
      </c>
      <c r="H21" s="411"/>
      <c r="I21" s="319">
        <v>0</v>
      </c>
      <c r="J21" s="320">
        <v>0.82</v>
      </c>
      <c r="K21" s="321">
        <v>6685</v>
      </c>
      <c r="M21" s="179"/>
      <c r="N21" s="139"/>
      <c r="O21" s="314"/>
    </row>
    <row r="22" spans="1:30" ht="15" x14ac:dyDescent="0.25">
      <c r="C22" s="6" t="s">
        <v>63</v>
      </c>
      <c r="D22" s="131" t="s">
        <v>69</v>
      </c>
      <c r="F22" s="2"/>
      <c r="N22" s="106"/>
      <c r="O22" s="314"/>
    </row>
    <row r="23" spans="1:30" ht="45" customHeight="1" x14ac:dyDescent="0.25">
      <c r="F23" s="132"/>
      <c r="G23" s="412" t="s">
        <v>70</v>
      </c>
      <c r="H23" s="412"/>
      <c r="I23" s="412"/>
      <c r="J23" s="412"/>
      <c r="N23" s="106"/>
      <c r="O23" s="314"/>
      <c r="AD23" s="40"/>
    </row>
    <row r="24" spans="1:30" ht="15" x14ac:dyDescent="0.25">
      <c r="B24" s="177" t="s">
        <v>71</v>
      </c>
      <c r="C24" s="122">
        <v>250</v>
      </c>
      <c r="D24" s="191" t="s">
        <v>72</v>
      </c>
      <c r="F24" s="312"/>
      <c r="G24" s="289"/>
      <c r="H24" s="289"/>
      <c r="I24" s="289"/>
      <c r="J24" s="289"/>
      <c r="K24" s="289"/>
      <c r="L24" s="108"/>
      <c r="M24" s="108"/>
      <c r="N24" s="109"/>
      <c r="O24" s="314"/>
      <c r="AD24" s="40"/>
    </row>
    <row r="25" spans="1:30" ht="73.5" customHeight="1" x14ac:dyDescent="0.25">
      <c r="E25" s="127"/>
      <c r="F25" s="415" t="s">
        <v>73</v>
      </c>
      <c r="G25" s="416"/>
      <c r="H25" s="416"/>
      <c r="I25" s="416"/>
      <c r="J25" s="416"/>
      <c r="K25" s="416"/>
      <c r="L25" s="413"/>
      <c r="M25" s="413"/>
      <c r="N25" s="414"/>
      <c r="O25" s="314"/>
      <c r="P25" s="146"/>
      <c r="AD25" s="40"/>
    </row>
    <row r="26" spans="1:30" ht="21.75" customHeight="1" x14ac:dyDescent="0.3">
      <c r="E26" s="127"/>
      <c r="F26" s="417" t="str">
        <f>IF(AND(P17=2,P26=3), "* You must select either method 1 or method 2 for a coal-fired boiler!", " ")</f>
        <v xml:space="preserve"> </v>
      </c>
      <c r="G26" s="418"/>
      <c r="H26" s="418"/>
      <c r="I26" s="418"/>
      <c r="J26" s="418"/>
      <c r="K26" s="418"/>
      <c r="L26" s="306"/>
      <c r="M26" s="306"/>
      <c r="N26" s="307"/>
      <c r="O26" s="314"/>
      <c r="P26" s="294">
        <v>1</v>
      </c>
      <c r="AD26" s="40"/>
    </row>
    <row r="27" spans="1:30" ht="18.75" customHeight="1" x14ac:dyDescent="0.25">
      <c r="E27" s="127"/>
      <c r="AD27" s="40"/>
    </row>
    <row r="28" spans="1:30" s="9" customFormat="1" ht="18.75" x14ac:dyDescent="0.3">
      <c r="A28" s="337" t="s">
        <v>74</v>
      </c>
      <c r="B28" s="337"/>
      <c r="C28" s="337"/>
      <c r="D28" s="337"/>
      <c r="E28" s="337"/>
      <c r="F28" s="337"/>
      <c r="G28" s="337"/>
      <c r="H28" s="337"/>
      <c r="I28" s="337"/>
      <c r="J28" s="337"/>
      <c r="K28" s="337"/>
      <c r="L28" s="337"/>
      <c r="M28" s="337"/>
      <c r="N28" s="337"/>
      <c r="O28" s="157"/>
      <c r="P28" s="105"/>
      <c r="Q28" s="105"/>
      <c r="R28" s="104"/>
      <c r="S28" s="105"/>
      <c r="T28" s="104"/>
      <c r="U28" s="150"/>
      <c r="V28" s="151"/>
      <c r="W28" s="105"/>
      <c r="X28" s="105"/>
      <c r="Y28" s="105"/>
      <c r="Z28" s="105"/>
      <c r="AA28" s="105"/>
      <c r="AB28" s="105"/>
      <c r="AC28" s="38"/>
      <c r="AD28" s="41"/>
    </row>
    <row r="29" spans="1:30" s="9" customFormat="1" ht="18.75" x14ac:dyDescent="0.3">
      <c r="A29" s="180"/>
      <c r="B29" s="180"/>
      <c r="C29" s="180"/>
      <c r="D29" s="180"/>
      <c r="E29" s="180"/>
      <c r="F29" s="180"/>
      <c r="G29" s="180"/>
      <c r="H29" s="180"/>
      <c r="I29" s="180"/>
      <c r="J29" s="180"/>
      <c r="K29" s="180"/>
      <c r="L29" s="180"/>
      <c r="M29" s="180"/>
      <c r="N29" s="180"/>
      <c r="O29" s="157"/>
      <c r="P29" s="105"/>
      <c r="Q29" s="105"/>
      <c r="R29" s="104"/>
      <c r="S29" s="105"/>
      <c r="T29" s="104"/>
      <c r="U29" s="150"/>
      <c r="V29" s="151"/>
      <c r="W29" s="105"/>
      <c r="X29" s="105"/>
      <c r="Y29" s="105"/>
      <c r="Z29" s="105"/>
      <c r="AA29" s="105"/>
      <c r="AB29" s="105"/>
      <c r="AC29" s="38"/>
      <c r="AD29" s="41"/>
    </row>
    <row r="30" spans="1:30" ht="15.75" x14ac:dyDescent="0.25">
      <c r="R30" s="150"/>
      <c r="U30" s="150"/>
      <c r="V30" s="146"/>
      <c r="AD30" s="40"/>
    </row>
    <row r="31" spans="1:30" ht="31.5" customHeight="1" x14ac:dyDescent="0.25">
      <c r="B31" s="42" t="s">
        <v>75</v>
      </c>
      <c r="C31" s="27">
        <v>288</v>
      </c>
      <c r="D31" s="182" t="s">
        <v>76</v>
      </c>
      <c r="H31" s="42" t="s">
        <v>77</v>
      </c>
      <c r="K31" s="187">
        <v>1</v>
      </c>
      <c r="L31" s="190"/>
      <c r="M31" s="190"/>
      <c r="N31" s="185"/>
      <c r="R31" s="150"/>
      <c r="U31" s="150"/>
      <c r="V31" s="146"/>
      <c r="AD31" s="40"/>
    </row>
    <row r="32" spans="1:30" ht="31.5" customHeight="1" x14ac:dyDescent="0.25">
      <c r="B32" s="42" t="s">
        <v>78</v>
      </c>
      <c r="C32" s="27">
        <v>288</v>
      </c>
      <c r="D32" s="182" t="s">
        <v>76</v>
      </c>
      <c r="G32" s="177"/>
      <c r="H32" s="42" t="s">
        <v>79</v>
      </c>
      <c r="I32" s="164"/>
      <c r="K32" s="187">
        <v>3</v>
      </c>
      <c r="L32" s="190"/>
      <c r="M32" s="190"/>
      <c r="N32" s="185"/>
      <c r="R32" s="150"/>
      <c r="U32" s="150"/>
      <c r="V32" s="146"/>
      <c r="AD32" s="40"/>
    </row>
    <row r="33" spans="2:30" ht="29.25" customHeight="1" x14ac:dyDescent="0.25">
      <c r="B33" s="42" t="s">
        <v>80</v>
      </c>
      <c r="C33" s="27">
        <v>0.186</v>
      </c>
      <c r="D33" s="182" t="s">
        <v>81</v>
      </c>
      <c r="H33" s="177" t="s">
        <v>82</v>
      </c>
      <c r="I33" s="164"/>
      <c r="J33" s="177"/>
      <c r="K33" s="225">
        <v>1</v>
      </c>
      <c r="L33" s="108"/>
      <c r="M33" s="108"/>
      <c r="N33" s="109"/>
      <c r="R33" s="150"/>
      <c r="U33" s="150"/>
      <c r="AD33" s="40"/>
    </row>
    <row r="34" spans="2:30" ht="24" customHeight="1" x14ac:dyDescent="0.25">
      <c r="B34" s="42" t="s">
        <v>83</v>
      </c>
      <c r="C34" s="186">
        <v>5.5E-2</v>
      </c>
      <c r="D34" s="182" t="s">
        <v>81</v>
      </c>
      <c r="H34" s="42" t="s">
        <v>84</v>
      </c>
      <c r="K34" s="226">
        <v>2</v>
      </c>
      <c r="L34" s="206" t="s">
        <v>85</v>
      </c>
      <c r="M34" s="207"/>
      <c r="N34" s="184"/>
      <c r="R34" s="150"/>
      <c r="U34" s="150"/>
      <c r="AD34" s="40"/>
    </row>
    <row r="35" spans="2:30" ht="30.75" customHeight="1" x14ac:dyDescent="0.25">
      <c r="B35" s="42" t="s">
        <v>86</v>
      </c>
      <c r="C35" s="231">
        <v>1.05</v>
      </c>
      <c r="D35" s="182"/>
      <c r="H35" s="407" t="s">
        <v>87</v>
      </c>
      <c r="I35" s="407"/>
      <c r="J35" s="407"/>
      <c r="K35" s="192" t="s">
        <v>88</v>
      </c>
      <c r="L35" s="408" t="s">
        <v>89</v>
      </c>
      <c r="M35" s="408"/>
      <c r="N35" s="409"/>
      <c r="R35" s="150"/>
      <c r="U35" s="150"/>
      <c r="AD35" s="40"/>
    </row>
    <row r="36" spans="2:30" ht="34.5" customHeight="1" x14ac:dyDescent="0.25">
      <c r="B36" s="219" t="str">
        <f>IF(OR(C35=1.05, C35=0.525), "*The SRF value of "&amp;C35&amp;" is a default value. User should enter actual value, if known.", " ")</f>
        <v>*The SRF value of 1.05 is a default value. User should enter actual value, if known.</v>
      </c>
      <c r="E36" s="71"/>
      <c r="H36" s="407" t="s">
        <v>90</v>
      </c>
      <c r="I36" s="407"/>
      <c r="J36" s="407"/>
      <c r="K36" s="186" t="s">
        <v>88</v>
      </c>
      <c r="L36" s="408" t="s">
        <v>91</v>
      </c>
      <c r="M36" s="408"/>
      <c r="N36" s="409"/>
      <c r="R36" s="150"/>
      <c r="U36" s="150"/>
      <c r="AD36" s="40"/>
    </row>
    <row r="37" spans="2:30" ht="30.75" customHeight="1" x14ac:dyDescent="0.25">
      <c r="B37" s="42"/>
      <c r="E37" s="71"/>
      <c r="K37" s="42" t="s">
        <v>30</v>
      </c>
      <c r="L37" s="393"/>
      <c r="M37" s="393"/>
      <c r="N37" s="393"/>
      <c r="R37" s="150"/>
      <c r="U37" s="150"/>
      <c r="AD37" s="40"/>
    </row>
    <row r="38" spans="2:30" ht="30.75" customHeight="1" x14ac:dyDescent="0.25">
      <c r="B38" s="42" t="s">
        <v>92</v>
      </c>
      <c r="C38" s="188">
        <v>24000</v>
      </c>
      <c r="D38" s="182" t="str">
        <f>"hours"&amp;(IF(C38=26000,"*", " "))</f>
        <v xml:space="preserve">hours </v>
      </c>
      <c r="E38" s="399" t="str">
        <f>IF(C38=26000, "* 24,000 hours is a default value for the operating life of a catalyst. User should enter actual value, if known.", " ")</f>
        <v xml:space="preserve"> </v>
      </c>
      <c r="F38" s="400"/>
      <c r="G38" s="400"/>
      <c r="H38" s="400"/>
      <c r="I38" s="400"/>
      <c r="K38" s="42" t="s">
        <v>30</v>
      </c>
      <c r="L38" s="338"/>
      <c r="M38" s="338"/>
      <c r="N38" s="338"/>
      <c r="R38" s="150"/>
      <c r="U38" s="150"/>
      <c r="AD38" s="40"/>
    </row>
    <row r="39" spans="2:30" ht="36.75" customHeight="1" x14ac:dyDescent="0.25">
      <c r="B39" t="s">
        <v>93</v>
      </c>
      <c r="C39" s="27">
        <v>30</v>
      </c>
      <c r="D39" s="182" t="s">
        <v>94</v>
      </c>
      <c r="E39" s="71"/>
      <c r="H39" s="42" t="s">
        <v>95</v>
      </c>
      <c r="K39" s="122">
        <v>650</v>
      </c>
      <c r="L39" s="394" t="s">
        <v>96</v>
      </c>
      <c r="M39" s="394"/>
      <c r="N39" s="395"/>
      <c r="O39" s="232" t="str">
        <f>IF(K39=650,"*The SCR inlet temperature of 650 deg.F is a default value. Enter actual temperature, if known.", " ")</f>
        <v>*The SCR inlet temperature of 650 deg.F is a default value. Enter actual temperature, if known.</v>
      </c>
      <c r="P39" s="232"/>
      <c r="Q39" s="232"/>
      <c r="R39" s="232"/>
      <c r="S39" s="232"/>
      <c r="T39" s="232"/>
      <c r="U39" s="150"/>
      <c r="AD39" s="40"/>
    </row>
    <row r="40" spans="2:30" ht="30.75" customHeight="1" x14ac:dyDescent="0.35">
      <c r="B40" s="220" t="str">
        <f>IF(P8=2,"* For utility boilers, the typical equipment life of an SCR is at least 30 years.",(IF(P8=3,"* For industrial boilers, the typical equipment life is between 20 and 25 years.", " ")))</f>
        <v>* For utility boilers, the typical equipment life of an SCR is at least 30 years.</v>
      </c>
      <c r="C40" s="205"/>
      <c r="H40" s="383" t="s">
        <v>97</v>
      </c>
      <c r="I40" s="383"/>
      <c r="J40" s="396"/>
      <c r="K40" s="227">
        <v>516</v>
      </c>
      <c r="L40" s="394" t="s">
        <v>98</v>
      </c>
      <c r="M40" s="394"/>
      <c r="N40" s="395"/>
      <c r="R40" s="150"/>
      <c r="U40" s="150"/>
      <c r="AD40" s="40"/>
    </row>
    <row r="41" spans="2:30" ht="22.5" customHeight="1" x14ac:dyDescent="0.55000000000000004">
      <c r="B41" t="s">
        <v>99</v>
      </c>
      <c r="C41" s="187">
        <v>29</v>
      </c>
      <c r="D41" s="182" t="str">
        <f>"percent"&amp;(IF(OR(C41=29, C41=50),"*", " "))</f>
        <v>percent*</v>
      </c>
      <c r="E41" s="397" t="str">
        <f>IF(AND(C41=29,C42=56), "*The reagent concentration of 29% and density of 56 lbs/cft are default values for ammonia reagent. User should enter actual values for reagent, if different from the default values provided.", (IF(AND(C41=50,C42=71), "*The reagent concentration of 50% and density of 71 lbs/cft are default values for urea reagent. User should enter actual values for reagent, if different from the default values provided.", " ")))</f>
        <v>*The reagent concentration of 29% and density of 56 lbs/cft are default values for ammonia reagent. User should enter actual values for reagent, if different from the default values provided.</v>
      </c>
      <c r="F41" s="398"/>
      <c r="G41" s="398"/>
      <c r="H41" s="398"/>
      <c r="I41" s="398"/>
      <c r="J41" s="218"/>
      <c r="K41" s="218"/>
      <c r="L41" s="218"/>
      <c r="M41" s="175"/>
      <c r="N41" s="175"/>
      <c r="R41" s="150"/>
      <c r="U41" s="150"/>
      <c r="AD41" s="40"/>
    </row>
    <row r="42" spans="2:30" ht="24" customHeight="1" x14ac:dyDescent="0.5">
      <c r="B42" s="42" t="s">
        <v>100</v>
      </c>
      <c r="C42" s="27">
        <v>56</v>
      </c>
      <c r="D42" s="182" t="str">
        <f>"lb/cubic feet"&amp;(IF(OR(C42=56,C42=71),"*"," "))</f>
        <v>lb/cubic feet*</v>
      </c>
      <c r="E42" s="397"/>
      <c r="F42" s="398"/>
      <c r="G42" s="398"/>
      <c r="H42" s="398"/>
      <c r="I42" s="398"/>
      <c r="J42" s="175"/>
      <c r="K42" s="175"/>
      <c r="L42" s="175"/>
      <c r="M42" s="175"/>
      <c r="N42" s="175"/>
      <c r="R42" s="150"/>
      <c r="U42" s="150"/>
      <c r="AD42" s="40"/>
    </row>
    <row r="43" spans="2:30" ht="21.75" customHeight="1" x14ac:dyDescent="0.55000000000000004">
      <c r="B43" t="s">
        <v>101</v>
      </c>
      <c r="C43" s="27">
        <v>14</v>
      </c>
      <c r="D43" s="182" t="s">
        <v>76</v>
      </c>
      <c r="E43" s="397"/>
      <c r="F43" s="398"/>
      <c r="G43" s="398"/>
      <c r="H43" s="398"/>
      <c r="I43" s="398"/>
      <c r="J43" s="209" t="s">
        <v>102</v>
      </c>
      <c r="K43" s="133"/>
      <c r="L43" s="133"/>
      <c r="M43" s="133"/>
      <c r="N43" s="211"/>
      <c r="R43" s="150"/>
      <c r="U43" s="150"/>
      <c r="AD43" s="40"/>
    </row>
    <row r="44" spans="2:30" ht="15.75" x14ac:dyDescent="0.5">
      <c r="J44" s="210" t="s">
        <v>103</v>
      </c>
      <c r="K44" s="327"/>
      <c r="L44" s="328">
        <v>71</v>
      </c>
      <c r="M44" s="329" t="s">
        <v>104</v>
      </c>
      <c r="N44" s="212"/>
      <c r="R44" s="150"/>
      <c r="U44" s="150"/>
      <c r="AD44" s="40"/>
    </row>
    <row r="45" spans="2:30" ht="15.75" x14ac:dyDescent="0.5">
      <c r="E45" s="71"/>
      <c r="J45" s="210" t="s">
        <v>105</v>
      </c>
      <c r="K45" s="327"/>
      <c r="L45" s="328">
        <v>56</v>
      </c>
      <c r="M45" s="329" t="s">
        <v>104</v>
      </c>
      <c r="N45" s="212"/>
      <c r="Q45" s="104" t="s">
        <v>106</v>
      </c>
      <c r="R45" s="150"/>
      <c r="U45" s="150"/>
      <c r="AD45" s="40"/>
    </row>
    <row r="46" spans="2:30" ht="15.75" x14ac:dyDescent="0.5">
      <c r="C46" s="29"/>
      <c r="J46" s="330"/>
      <c r="K46" s="331"/>
      <c r="L46" s="332"/>
      <c r="M46" s="333"/>
      <c r="N46" s="213"/>
      <c r="P46" s="146">
        <v>1</v>
      </c>
      <c r="Q46" s="104" t="s">
        <v>107</v>
      </c>
      <c r="R46" s="150"/>
      <c r="U46" s="150"/>
      <c r="AD46" s="40"/>
    </row>
    <row r="47" spans="2:30" x14ac:dyDescent="0.45">
      <c r="B47" s="12" t="s">
        <v>108</v>
      </c>
      <c r="J47" s="325"/>
      <c r="K47" s="326"/>
      <c r="L47" s="326"/>
      <c r="M47" s="326"/>
      <c r="N47" s="322"/>
      <c r="O47" s="322"/>
      <c r="S47" s="148"/>
      <c r="T47" s="148"/>
      <c r="AD47" s="40"/>
    </row>
    <row r="48" spans="2:30" x14ac:dyDescent="0.45">
      <c r="J48" s="323"/>
      <c r="K48" s="323"/>
      <c r="L48" s="324"/>
      <c r="M48" s="324"/>
      <c r="N48" s="324"/>
      <c r="O48" s="322"/>
      <c r="S48" s="148"/>
      <c r="T48" s="148"/>
      <c r="AD48" s="40"/>
    </row>
    <row r="50" spans="1:30" s="9" customFormat="1" ht="18" x14ac:dyDescent="0.55000000000000004">
      <c r="A50" s="337" t="s">
        <v>109</v>
      </c>
      <c r="B50" s="337"/>
      <c r="C50" s="337"/>
      <c r="D50" s="337"/>
      <c r="E50" s="337"/>
      <c r="F50" s="337"/>
      <c r="G50" s="337"/>
      <c r="H50" s="337"/>
      <c r="I50" s="337"/>
      <c r="J50" s="337"/>
      <c r="K50" s="337"/>
      <c r="L50" s="337"/>
      <c r="M50" s="337"/>
      <c r="N50" s="337"/>
      <c r="O50" s="157"/>
      <c r="P50" s="105"/>
      <c r="Q50" s="105"/>
      <c r="R50" s="105"/>
      <c r="S50" s="105"/>
      <c r="T50" s="105"/>
      <c r="U50" s="105"/>
      <c r="V50" s="105"/>
      <c r="W50" s="105"/>
      <c r="X50" s="105"/>
      <c r="Y50" s="105"/>
      <c r="Z50" s="105"/>
      <c r="AA50" s="105"/>
      <c r="AB50" s="105"/>
      <c r="AC50" s="38"/>
      <c r="AD50" s="41"/>
    </row>
    <row r="52" spans="1:30" ht="18.75" customHeight="1" x14ac:dyDescent="0.45">
      <c r="B52" t="s">
        <v>110</v>
      </c>
      <c r="C52" s="27">
        <v>2019</v>
      </c>
      <c r="D52" s="3"/>
      <c r="E52" s="3"/>
      <c r="F52" s="3"/>
      <c r="G52" s="3"/>
      <c r="H52" s="182"/>
      <c r="AD52" s="40"/>
    </row>
    <row r="53" spans="1:30" ht="20.25" customHeight="1" x14ac:dyDescent="0.45">
      <c r="B53" t="str">
        <f>"CEPCI for " &amp; C52</f>
        <v>CEPCI for 2019</v>
      </c>
      <c r="C53" s="27">
        <v>607.5</v>
      </c>
      <c r="D53" s="190" t="str">
        <f>IF(C52=2016," ","Enter the CEPCI value for "&amp;C52)</f>
        <v>Enter the CEPCI value for 2019</v>
      </c>
      <c r="E53" s="3"/>
      <c r="F53" s="31">
        <v>541.70000000000005</v>
      </c>
      <c r="G53" s="183" t="s">
        <v>111</v>
      </c>
      <c r="H53" s="182"/>
      <c r="I53" t="s">
        <v>112</v>
      </c>
      <c r="AD53" s="40"/>
    </row>
    <row r="54" spans="1:30" ht="33.75" customHeight="1" x14ac:dyDescent="0.45">
      <c r="B54" t="s">
        <v>113</v>
      </c>
      <c r="C54" s="27">
        <v>7</v>
      </c>
      <c r="D54" s="3" t="str">
        <f>IF(C54=5.5, "Percent*", "Percent")</f>
        <v>Percent</v>
      </c>
      <c r="E54" s="3"/>
      <c r="F54" s="3"/>
      <c r="G54" s="3"/>
      <c r="H54" s="182"/>
      <c r="I54" s="373" t="str">
        <f>IF(C54=5.5,"* 5.5 percent is the default bank prime rate. User should enter current bank prime rate (available at https://www.federalreserve.gov/releases/h15/.)"," ")</f>
        <v xml:space="preserve"> </v>
      </c>
      <c r="J54" s="374"/>
      <c r="K54" s="374"/>
      <c r="L54" s="374"/>
      <c r="M54" s="374"/>
      <c r="N54" s="374"/>
      <c r="AD54" s="40"/>
    </row>
    <row r="55" spans="1:30" ht="42" customHeight="1" x14ac:dyDescent="0.55000000000000004">
      <c r="B55" t="s">
        <v>114</v>
      </c>
      <c r="C55" s="231">
        <v>0.29299999999999998</v>
      </c>
      <c r="D55" s="3" t="str">
        <f>"$/gallon for "&amp;(IF(P46=2,"50% urea",(IF(P46=1,(C41&amp;"% ammonia"), " "))))&amp;(IF(OR(C55=0.293,C55=1.66),"*"," "))</f>
        <v>$/gallon for 29% ammonia*</v>
      </c>
      <c r="E55" s="3"/>
      <c r="F55" s="3"/>
      <c r="G55" s="3"/>
      <c r="H55" s="182"/>
      <c r="I55" s="373" t="str">
        <f>IF(AND(P46=1,C55=0.293),"* $0.293/gallon is a default value for 29% ammonia. User should enter actual value, if known.",(IF(AND(P46=2,C55=1.66),"* $1.66/gallon is a default value for 50% urea. User should enter actual value, if known."," ")))</f>
        <v>* $0.293/gallon is a default value for 29% ammonia. User should enter actual value, if known.</v>
      </c>
      <c r="J55" s="374"/>
      <c r="K55" s="374"/>
      <c r="L55" s="374"/>
      <c r="M55" s="374"/>
      <c r="N55" s="374"/>
      <c r="AD55" s="40"/>
    </row>
    <row r="56" spans="1:30" ht="27.75" customHeight="1" x14ac:dyDescent="0.55000000000000004">
      <c r="B56" t="s">
        <v>115</v>
      </c>
      <c r="C56" s="124">
        <v>3.61E-2</v>
      </c>
      <c r="D56" s="3" t="str">
        <f>"$/kWh"&amp;(IF(OR(C56=0.071, C56=0.039), "*"," "))</f>
        <v xml:space="preserve">$/kWh </v>
      </c>
      <c r="E56" s="3"/>
      <c r="F56" s="3"/>
      <c r="G56" s="3"/>
      <c r="H56" s="182"/>
      <c r="I56" s="373" t="str">
        <f>IF(C56=0.0361,"* $0.0361/kWh is a default value for electicity cost. User should enter actual value, if known.",(IF(C56=0.0676,"* $0.0676/kWh is a default value for electrity cost. User should enter actual value, if known."," ")))</f>
        <v>* $0.0361/kWh is a default value for electicity cost. User should enter actual value, if known.</v>
      </c>
      <c r="J56" s="374"/>
      <c r="K56" s="374"/>
      <c r="L56" s="374"/>
      <c r="M56" s="374"/>
      <c r="N56" s="374"/>
      <c r="AD56" s="40"/>
    </row>
    <row r="57" spans="1:30" ht="38.25" customHeight="1" x14ac:dyDescent="0.55000000000000004">
      <c r="B57" t="s">
        <v>116</v>
      </c>
      <c r="C57" s="134">
        <v>227</v>
      </c>
      <c r="D57" s="385" t="str">
        <f>"$/cubic foot (includes removal and disposal/regeneration of existing catalyst and installation of new catalyst"&amp;(IF(C57=160,"*"," "))</f>
        <v xml:space="preserve">$/cubic foot (includes removal and disposal/regeneration of existing catalyst and installation of new catalyst </v>
      </c>
      <c r="E57" s="385"/>
      <c r="F57" s="385"/>
      <c r="G57" s="385"/>
      <c r="H57" s="386"/>
      <c r="I57" s="373" t="str">
        <f>IF(C57=227, "* $227/cf is a default value for the catalyst cost based on 2016 prices. User should enter actual value, if known.", " ")</f>
        <v>* $227/cf is a default value for the catalyst cost based on 2016 prices. User should enter actual value, if known.</v>
      </c>
      <c r="J57" s="374"/>
      <c r="K57" s="374"/>
      <c r="L57" s="374"/>
      <c r="M57" s="374"/>
      <c r="N57" s="374"/>
      <c r="AD57" s="40"/>
    </row>
    <row r="58" spans="1:30" ht="25.5" customHeight="1" x14ac:dyDescent="0.45">
      <c r="B58" t="s">
        <v>117</v>
      </c>
      <c r="C58" s="230">
        <v>60</v>
      </c>
      <c r="D58" s="3" t="str">
        <f>"$/hour (including benefits)"&amp;(IF(C58=60,"*"," "))</f>
        <v>$/hour (including benefits)*</v>
      </c>
      <c r="E58" s="3"/>
      <c r="F58" s="3"/>
      <c r="G58" s="3"/>
      <c r="H58" s="182"/>
      <c r="I58" s="373" t="str">
        <f>IF(C58=60, "*  $60/hour is a default value for the operator labor rate. User should enter actual value, if known.", " ")</f>
        <v>*  $60/hour is a default value for the operator labor rate. User should enter actual value, if known.</v>
      </c>
      <c r="J58" s="374"/>
      <c r="K58" s="374"/>
      <c r="L58" s="374"/>
      <c r="M58" s="374"/>
      <c r="N58" s="374"/>
      <c r="AD58" s="40"/>
    </row>
    <row r="59" spans="1:30" ht="22.5" customHeight="1" x14ac:dyDescent="0.45">
      <c r="B59" t="s">
        <v>118</v>
      </c>
      <c r="C59" s="230">
        <v>4</v>
      </c>
      <c r="D59" s="3" t="str">
        <f>"hours/day"&amp;(IF(C59=4,"*"," "))</f>
        <v>hours/day*</v>
      </c>
      <c r="E59" s="3"/>
      <c r="F59" s="3"/>
      <c r="G59" s="3"/>
      <c r="H59" s="182"/>
      <c r="I59" s="373" t="str">
        <f>IF(C59=4, "*  4 hours/day is a default value for the operator labor. User should enter actual value, if known.", " ")</f>
        <v>*  4 hours/day is a default value for the operator labor. User should enter actual value, if known.</v>
      </c>
      <c r="J59" s="374"/>
      <c r="K59" s="374"/>
      <c r="L59" s="374"/>
      <c r="M59" s="374"/>
      <c r="N59" s="374"/>
      <c r="AD59" s="40"/>
    </row>
    <row r="60" spans="1:30" ht="35.25" customHeight="1" x14ac:dyDescent="0.45">
      <c r="B60" s="383" t="s">
        <v>119</v>
      </c>
      <c r="C60" s="383"/>
      <c r="D60" s="383"/>
      <c r="E60" s="383"/>
      <c r="F60" s="383"/>
      <c r="G60" s="384"/>
      <c r="H60" s="384"/>
      <c r="I60" s="339"/>
      <c r="J60" s="339"/>
      <c r="K60" s="339"/>
      <c r="L60" s="339"/>
      <c r="M60" s="339"/>
      <c r="N60" s="339"/>
    </row>
    <row r="62" spans="1:30" s="9" customFormat="1" ht="18" x14ac:dyDescent="0.55000000000000004">
      <c r="A62" s="337" t="s">
        <v>120</v>
      </c>
      <c r="B62" s="337"/>
      <c r="C62" s="337"/>
      <c r="D62" s="337"/>
      <c r="E62" s="337"/>
      <c r="F62" s="337"/>
      <c r="G62" s="337"/>
      <c r="H62" s="337"/>
      <c r="I62" s="337"/>
      <c r="J62" s="337"/>
      <c r="K62" s="337"/>
      <c r="L62" s="337"/>
      <c r="M62" s="337"/>
      <c r="N62" s="337"/>
      <c r="O62" s="157"/>
      <c r="P62" s="105"/>
      <c r="Q62" s="105"/>
      <c r="R62" s="105"/>
      <c r="S62" s="105"/>
      <c r="T62" s="105"/>
      <c r="U62" s="105"/>
      <c r="V62" s="105"/>
      <c r="W62" s="105"/>
      <c r="X62" s="105"/>
      <c r="Y62" s="105"/>
      <c r="Z62" s="105"/>
      <c r="AA62" s="105"/>
      <c r="AB62" s="105"/>
      <c r="AC62" s="38"/>
      <c r="AD62" s="41"/>
    </row>
    <row r="63" spans="1:30" s="41" customFormat="1" ht="14.25" customHeight="1" x14ac:dyDescent="0.55000000000000004">
      <c r="A63" s="56"/>
      <c r="B63" s="37"/>
      <c r="C63" s="37">
        <v>1.4999999999999999E-2</v>
      </c>
      <c r="D63" s="37"/>
      <c r="E63" s="37"/>
      <c r="F63" s="37"/>
      <c r="G63" s="181"/>
      <c r="H63" s="181"/>
      <c r="I63" s="181"/>
      <c r="J63" s="181"/>
      <c r="K63" s="37"/>
      <c r="L63" s="105"/>
      <c r="M63" s="105"/>
      <c r="N63" s="105"/>
      <c r="P63" s="105"/>
      <c r="Q63" s="105"/>
      <c r="R63" s="105"/>
      <c r="S63" s="105"/>
      <c r="T63" s="105"/>
      <c r="U63" s="105"/>
      <c r="V63" s="105"/>
      <c r="W63" s="105"/>
      <c r="X63" s="105"/>
      <c r="Y63" s="105"/>
      <c r="Z63" s="105"/>
      <c r="AA63" s="105"/>
      <c r="AB63" s="105"/>
      <c r="AC63" s="38"/>
    </row>
    <row r="64" spans="1:30" x14ac:dyDescent="0.45">
      <c r="B64" t="s">
        <v>121</v>
      </c>
      <c r="C64" s="57">
        <v>5.0000000000000001E-3</v>
      </c>
      <c r="D64" s="71" t="str">
        <f>IF(C64&gt;0.005,"*MCF is greater than the IPM default value of 0.005. User must document why the value entered is appropriate.",(IF(C64&lt;0.005,"*MCF is less than the IPM default value of 0.005. User must document why the value entered is appropriate."," ")))</f>
        <v xml:space="preserve"> </v>
      </c>
    </row>
    <row r="65" spans="1:29" x14ac:dyDescent="0.45">
      <c r="B65" t="s">
        <v>122</v>
      </c>
      <c r="C65" s="57">
        <v>0.03</v>
      </c>
      <c r="D65" s="71" t="str">
        <f>IF(C65&gt;0.03,"*ACF is greater than the IPM default value of 0.03. User must document why the value entered is appropriate.",(IF(C65&lt;0.03,"*ACF is less than the IPM default value of 0.03. User must document why the value entered is appropriate."," ")))</f>
        <v xml:space="preserve"> </v>
      </c>
    </row>
    <row r="67" spans="1:29" s="13" customFormat="1" ht="18" x14ac:dyDescent="0.55000000000000004">
      <c r="A67" s="337" t="s">
        <v>123</v>
      </c>
      <c r="B67" s="337"/>
      <c r="C67" s="337"/>
      <c r="D67" s="337"/>
      <c r="E67" s="337"/>
      <c r="F67" s="337"/>
      <c r="G67" s="337"/>
      <c r="H67" s="337"/>
      <c r="I67" s="337"/>
      <c r="J67" s="337"/>
      <c r="K67" s="337"/>
      <c r="L67" s="337"/>
      <c r="M67" s="337"/>
      <c r="N67" s="337"/>
      <c r="O67" s="157"/>
      <c r="P67" s="110"/>
      <c r="Q67" s="110"/>
      <c r="R67" s="110"/>
      <c r="S67" s="110"/>
      <c r="T67" s="110"/>
      <c r="U67" s="110"/>
      <c r="V67" s="110"/>
      <c r="W67" s="110"/>
      <c r="X67" s="110"/>
      <c r="Y67" s="110"/>
      <c r="Z67" s="110"/>
      <c r="AA67" s="110"/>
      <c r="AB67" s="110"/>
      <c r="AC67" s="47"/>
    </row>
    <row r="68" spans="1:29" ht="16.5" customHeight="1" x14ac:dyDescent="0.45"/>
    <row r="69" spans="1:29" ht="47.25" customHeight="1" x14ac:dyDescent="0.45">
      <c r="B69" s="72" t="s">
        <v>124</v>
      </c>
      <c r="C69" s="137" t="s">
        <v>125</v>
      </c>
      <c r="D69" s="376" t="s">
        <v>126</v>
      </c>
      <c r="E69" s="376"/>
      <c r="F69" s="376"/>
      <c r="G69" s="376"/>
      <c r="H69" s="376"/>
      <c r="I69" s="376"/>
      <c r="J69" s="402" t="s">
        <v>127</v>
      </c>
      <c r="K69" s="402"/>
      <c r="L69" s="402"/>
      <c r="M69" s="402"/>
      <c r="N69" s="403"/>
      <c r="O69" s="143" t="s">
        <v>128</v>
      </c>
      <c r="P69" s="140"/>
      <c r="Q69" s="140"/>
      <c r="R69" s="140"/>
      <c r="S69" s="140"/>
    </row>
    <row r="70" spans="1:29" ht="80.25" customHeight="1" x14ac:dyDescent="0.45">
      <c r="B70" s="73" t="s">
        <v>129</v>
      </c>
      <c r="C70" s="301" t="s">
        <v>130</v>
      </c>
      <c r="D70" s="375" t="s">
        <v>131</v>
      </c>
      <c r="E70" s="375"/>
      <c r="F70" s="375"/>
      <c r="G70" s="375"/>
      <c r="H70" s="375"/>
      <c r="I70" s="375"/>
      <c r="J70" s="404" t="s">
        <v>30</v>
      </c>
      <c r="K70" s="405"/>
      <c r="L70" s="405"/>
      <c r="M70" s="405"/>
      <c r="N70" s="406"/>
      <c r="O70" s="145" t="s">
        <v>132</v>
      </c>
      <c r="P70" s="141"/>
      <c r="Q70" s="141"/>
      <c r="R70" s="141"/>
      <c r="S70" s="141"/>
    </row>
    <row r="71" spans="1:29" ht="87.75" customHeight="1" x14ac:dyDescent="0.45">
      <c r="B71" s="73" t="s">
        <v>133</v>
      </c>
      <c r="C71" s="228">
        <v>3.61E-2</v>
      </c>
      <c r="D71" s="377" t="s">
        <v>134</v>
      </c>
      <c r="E71" s="378"/>
      <c r="F71" s="378"/>
      <c r="G71" s="378"/>
      <c r="H71" s="378"/>
      <c r="I71" s="379"/>
      <c r="J71" s="380" t="s">
        <v>30</v>
      </c>
      <c r="K71" s="381"/>
      <c r="L71" s="381"/>
      <c r="M71" s="381"/>
      <c r="N71" s="382"/>
      <c r="O71" s="145" t="s">
        <v>135</v>
      </c>
      <c r="P71" s="142"/>
      <c r="Q71" s="142"/>
      <c r="R71" s="142"/>
      <c r="S71" s="142"/>
    </row>
    <row r="72" spans="1:29" ht="74.25" customHeight="1" x14ac:dyDescent="0.45">
      <c r="B72" s="74" t="s">
        <v>136</v>
      </c>
      <c r="C72" s="298">
        <v>0.41</v>
      </c>
      <c r="D72" s="377" t="s">
        <v>137</v>
      </c>
      <c r="E72" s="378"/>
      <c r="F72" s="378"/>
      <c r="G72" s="378"/>
      <c r="H72" s="378"/>
      <c r="I72" s="379"/>
      <c r="J72" s="380" t="s">
        <v>30</v>
      </c>
      <c r="K72" s="381"/>
      <c r="L72" s="381"/>
      <c r="M72" s="381"/>
      <c r="N72" s="382"/>
      <c r="O72" s="145" t="s">
        <v>138</v>
      </c>
      <c r="P72" s="142"/>
      <c r="Q72" s="142"/>
      <c r="R72" s="142"/>
      <c r="S72" s="142"/>
    </row>
    <row r="73" spans="1:29" ht="79.5" customHeight="1" x14ac:dyDescent="0.45">
      <c r="B73" s="208" t="s">
        <v>139</v>
      </c>
      <c r="C73" s="299">
        <v>8826</v>
      </c>
      <c r="D73" s="377" t="s">
        <v>140</v>
      </c>
      <c r="E73" s="378"/>
      <c r="F73" s="378"/>
      <c r="G73" s="378"/>
      <c r="H73" s="378"/>
      <c r="I73" s="379"/>
      <c r="J73" s="380" t="s">
        <v>30</v>
      </c>
      <c r="K73" s="381"/>
      <c r="L73" s="381"/>
      <c r="M73" s="381"/>
      <c r="N73" s="382"/>
      <c r="O73" s="145" t="s">
        <v>141</v>
      </c>
      <c r="P73" s="142"/>
      <c r="Q73" s="142"/>
      <c r="R73" s="142"/>
      <c r="S73" s="142"/>
    </row>
    <row r="74" spans="1:29" ht="91.5" customHeight="1" x14ac:dyDescent="0.45">
      <c r="B74" s="73" t="s">
        <v>142</v>
      </c>
      <c r="C74" s="229">
        <v>227</v>
      </c>
      <c r="D74" s="375" t="s">
        <v>143</v>
      </c>
      <c r="E74" s="375"/>
      <c r="F74" s="375"/>
      <c r="G74" s="375"/>
      <c r="H74" s="375"/>
      <c r="I74" s="375"/>
      <c r="J74" s="401"/>
      <c r="K74" s="401"/>
      <c r="L74" s="401"/>
      <c r="M74" s="401"/>
      <c r="N74" s="401"/>
      <c r="O74" s="144" t="s">
        <v>144</v>
      </c>
    </row>
    <row r="75" spans="1:29" ht="71.25" x14ac:dyDescent="0.45">
      <c r="B75" s="296" t="s">
        <v>145</v>
      </c>
      <c r="C75" s="295">
        <v>60</v>
      </c>
      <c r="D75" s="375" t="s">
        <v>143</v>
      </c>
      <c r="E75" s="375"/>
      <c r="F75" s="375"/>
      <c r="G75" s="375"/>
      <c r="H75" s="375"/>
      <c r="I75" s="375"/>
      <c r="J75" s="381"/>
      <c r="K75" s="381"/>
      <c r="L75" s="381"/>
      <c r="M75" s="381"/>
      <c r="N75" s="382"/>
      <c r="O75" s="145" t="s">
        <v>146</v>
      </c>
    </row>
    <row r="76" spans="1:29" ht="42.75" x14ac:dyDescent="0.45">
      <c r="B76" s="73" t="s">
        <v>147</v>
      </c>
      <c r="C76" s="302">
        <v>5.5</v>
      </c>
      <c r="D76" s="390" t="s">
        <v>148</v>
      </c>
      <c r="E76" s="391"/>
      <c r="F76" s="391"/>
      <c r="G76" s="391"/>
      <c r="H76" s="391"/>
      <c r="I76" s="392"/>
      <c r="J76" s="387"/>
      <c r="K76" s="388"/>
      <c r="L76" s="388"/>
      <c r="M76" s="388"/>
      <c r="N76" s="389"/>
      <c r="O76" s="145" t="s">
        <v>149</v>
      </c>
    </row>
    <row r="77" spans="1:29" x14ac:dyDescent="0.45">
      <c r="D77" s="135"/>
      <c r="E77" s="135"/>
      <c r="F77" s="135"/>
      <c r="G77" s="135"/>
      <c r="H77" s="135"/>
      <c r="I77" s="135"/>
    </row>
  </sheetData>
  <sheetProtection formatCells="0"/>
  <dataConsolidate/>
  <mergeCells count="54">
    <mergeCell ref="A1:N1"/>
    <mergeCell ref="A3:N3"/>
    <mergeCell ref="J17:L17"/>
    <mergeCell ref="G19:H19"/>
    <mergeCell ref="G20:H20"/>
    <mergeCell ref="F12:H12"/>
    <mergeCell ref="J12:K12"/>
    <mergeCell ref="A7:C7"/>
    <mergeCell ref="A6:C6"/>
    <mergeCell ref="G18:H18"/>
    <mergeCell ref="B13:D13"/>
    <mergeCell ref="F15:N15"/>
    <mergeCell ref="G16:M16"/>
    <mergeCell ref="G13:L13"/>
    <mergeCell ref="E7:I7"/>
    <mergeCell ref="H35:J35"/>
    <mergeCell ref="H36:J36"/>
    <mergeCell ref="L35:N35"/>
    <mergeCell ref="L36:N36"/>
    <mergeCell ref="G21:H21"/>
    <mergeCell ref="G23:J23"/>
    <mergeCell ref="L25:N25"/>
    <mergeCell ref="F25:K25"/>
    <mergeCell ref="F26:K26"/>
    <mergeCell ref="J76:N76"/>
    <mergeCell ref="D76:I76"/>
    <mergeCell ref="D75:I75"/>
    <mergeCell ref="J75:N75"/>
    <mergeCell ref="L37:N37"/>
    <mergeCell ref="L39:N39"/>
    <mergeCell ref="L40:N40"/>
    <mergeCell ref="H40:J40"/>
    <mergeCell ref="E41:I43"/>
    <mergeCell ref="E38:I38"/>
    <mergeCell ref="J74:N74"/>
    <mergeCell ref="D72:I72"/>
    <mergeCell ref="D73:I73"/>
    <mergeCell ref="J69:N69"/>
    <mergeCell ref="J70:N70"/>
    <mergeCell ref="J72:N72"/>
    <mergeCell ref="I55:N55"/>
    <mergeCell ref="I56:N56"/>
    <mergeCell ref="I57:N57"/>
    <mergeCell ref="D57:H57"/>
    <mergeCell ref="I54:N54"/>
    <mergeCell ref="I58:N58"/>
    <mergeCell ref="D74:I74"/>
    <mergeCell ref="D69:I69"/>
    <mergeCell ref="D70:I70"/>
    <mergeCell ref="D71:I71"/>
    <mergeCell ref="J71:N71"/>
    <mergeCell ref="B60:H60"/>
    <mergeCell ref="I59:N59"/>
    <mergeCell ref="J73:N73"/>
  </mergeCells>
  <dataValidations count="16">
    <dataValidation type="decimal" errorStyle="warning" allowBlank="1" showInputMessage="1" showErrorMessage="1" error="The value you entered is outside the expected range. The sulfur content is typically between 0.05 and 10% by weight. " sqref="I12">
      <formula1>0</formula1>
      <formula2>10</formula2>
    </dataValidation>
    <dataValidation errorStyle="warning" allowBlank="1" showInputMessage="1" showErrorMessage="1" error="The cost estimates calculated using this spreadsheet apply to utility boilers greater than 25 MWh and industrial boilers greater than or equal to 250 MMBtu/hour." prompt="Values should be greater than 25 MWh for utility boilers and greater than 250 MMBtu/hour for industrial boilers." sqref="C10"/>
    <dataValidation type="whole" allowBlank="1" showInputMessage="1" showErrorMessage="1" error="Value should be less than 365 days " sqref="C31:C32">
      <formula1>0</formula1>
      <formula2>365</formula2>
    </dataValidation>
    <dataValidation type="whole" operator="greaterThanOrEqual" allowBlank="1" showInputMessage="1" showErrorMessage="1" error="Year must be 2012 or later" sqref="C52">
      <formula1>2012</formula1>
    </dataValidation>
    <dataValidation type="decimal" errorStyle="warning" allowBlank="1" showInputMessage="1" showErrorMessage="1" error="Value entered is outside the typical range. Electricity costs are usually between $0.02 to $0.35/kWh." sqref="C56">
      <formula1>0.02</formula1>
      <formula2>0.35</formula2>
    </dataValidation>
    <dataValidation type="whole" errorStyle="warning" allowBlank="1" showInputMessage="1" showErrorMessage="1" error="Please check the value you entered. the number of days of reagent storage is typically less than 365 days." sqref="C43">
      <formula1>0</formula1>
      <formula2>365</formula2>
    </dataValidation>
    <dataValidation type="decimal" allowBlank="1" showInputMessage="1" showErrorMessage="1" error="You must enter a value between 0 and 1" sqref="I19:I21">
      <formula1>0</formula1>
      <formula2>1</formula2>
    </dataValidation>
    <dataValidation type="decimal" allowBlank="1" showInputMessage="1" showErrorMessage="1" error="Value must be between 0 and 100 percent." sqref="C41">
      <formula1>0</formula1>
      <formula2>100</formula2>
    </dataValidation>
    <dataValidation type="decimal" errorStyle="warning" allowBlank="1" showInputMessage="1" showErrorMessage="1" error="The typical equipment life for an SNCR is between 10 and 30 years." sqref="C39">
      <formula1>10</formula1>
      <formula2>30</formula2>
    </dataValidation>
    <dataValidation type="custom" allowBlank="1" showInputMessage="1" showErrorMessage="1" error="NOx removal efficiency must be between 0 and 100 percent. If you do not know the removal efficiency, enter &quot;UNK&quot; and an estimated efficiency will be calculated for you." sqref="C34">
      <formula1>OR(C34="UNK", (AND(C34&gt;0, C34&lt;100.1)))</formula1>
    </dataValidation>
    <dataValidation type="decimal" errorStyle="warning" allowBlank="1" showInputMessage="1" showErrorMessage="1" error="The percent sulfur content by weight is outside the expected range. %S by weight is typically between 0.05 and 10%." sqref="J19:J21">
      <formula1>0.05</formula1>
      <formula2>10</formula2>
    </dataValidation>
    <dataValidation type="whole" errorStyle="warning" allowBlank="1" showInputMessage="1" showErrorMessage="1" error="HHV for bituminous coal is outside the expected range. The HHV for bituminous coal is typically between 8,500 and 12,600 Btu/lb." sqref="K19">
      <formula1>8500</formula1>
      <formula2>12600</formula2>
    </dataValidation>
    <dataValidation type="whole" errorStyle="warning" allowBlank="1" showInputMessage="1" showErrorMessage="1" error="The HHV for sub-bituminous coal is outside the expected range. The HHV for sub-bituminous coal is typically between 8,300 and 9,300 Btu/lb." sqref="K20">
      <formula1>8300</formula1>
      <formula2>9300</formula2>
    </dataValidation>
    <dataValidation type="whole" errorStyle="warning" allowBlank="1" showInputMessage="1" showErrorMessage="1" error="The HHV for lignite is outside the expected range. The HHV for lignite is typically between 5,000 and 7,000 Btu/lb." sqref="K21">
      <formula1>5000</formula1>
      <formula2>7000</formula2>
    </dataValidation>
    <dataValidation type="decimal" errorStyle="warning" allowBlank="1" showInputMessage="1" showErrorMessage="1" error="Please check the values you entered. The NSR is typically between 0.5 and 3." sqref="C35">
      <formula1>0</formula1>
      <formula2>3</formula2>
    </dataValidation>
    <dataValidation type="decimal" operator="greaterThan" allowBlank="1" showInputMessage="1" showErrorMessage="1" error="The retrofit factor you entered is outside the expected range. The value must be greater than 0.8. A  retrofit factor 1 should be used for retrofits of average difficulty. " sqref="D7">
      <formula1>0.8</formula1>
    </dataValidation>
  </dataValidations>
  <pageMargins left="0.25" right="0.25" top="0.75" bottom="0.75" header="0.3" footer="0.3"/>
  <pageSetup scale="71" orientation="landscape" r:id="rId1"/>
  <rowBreaks count="2" manualBreakCount="2">
    <brk id="28" max="13" man="1"/>
    <brk id="6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0" r:id="rId4" name="Drop Down 30">
              <controlPr locked="0" defaultSize="0" autoLine="0" autoPict="0" macro="[0]!UtilityORIndustrial">
                <anchor moveWithCells="1">
                  <from>
                    <xdr:col>1</xdr:col>
                    <xdr:colOff>3400425</xdr:colOff>
                    <xdr:row>3</xdr:row>
                    <xdr:rowOff>171450</xdr:rowOff>
                  </from>
                  <to>
                    <xdr:col>2</xdr:col>
                    <xdr:colOff>609600</xdr:colOff>
                    <xdr:row>3</xdr:row>
                    <xdr:rowOff>400050</xdr:rowOff>
                  </to>
                </anchor>
              </controlPr>
            </control>
          </mc:Choice>
        </mc:AlternateContent>
        <mc:AlternateContent xmlns:mc="http://schemas.openxmlformats.org/markup-compatibility/2006">
          <mc:Choice Requires="x14">
            <control shapeId="10271" r:id="rId5" name="Drop Down 31">
              <controlPr locked="0" defaultSize="0" autoLine="0" autoPict="0" macro="[0]!ChangeCoalBlock">
                <anchor moveWithCells="1">
                  <from>
                    <xdr:col>8</xdr:col>
                    <xdr:colOff>609600</xdr:colOff>
                    <xdr:row>3</xdr:row>
                    <xdr:rowOff>209550</xdr:rowOff>
                  </from>
                  <to>
                    <xdr:col>9</xdr:col>
                    <xdr:colOff>895350</xdr:colOff>
                    <xdr:row>4</xdr:row>
                    <xdr:rowOff>19050</xdr:rowOff>
                  </to>
                </anchor>
              </controlPr>
            </control>
          </mc:Choice>
        </mc:AlternateContent>
        <mc:AlternateContent xmlns:mc="http://schemas.openxmlformats.org/markup-compatibility/2006">
          <mc:Choice Requires="x14">
            <control shapeId="10275" r:id="rId6" name="Drop Down 35">
              <controlPr locked="0" defaultSize="0" autoLine="0" autoPict="0" macro="[0]!Coal_Type_Change">
                <anchor moveWithCells="1">
                  <from>
                    <xdr:col>7</xdr:col>
                    <xdr:colOff>733425</xdr:colOff>
                    <xdr:row>9</xdr:row>
                    <xdr:rowOff>76200</xdr:rowOff>
                  </from>
                  <to>
                    <xdr:col>8</xdr:col>
                    <xdr:colOff>800100</xdr:colOff>
                    <xdr:row>10</xdr:row>
                    <xdr:rowOff>19050</xdr:rowOff>
                  </to>
                </anchor>
              </controlPr>
            </control>
          </mc:Choice>
        </mc:AlternateContent>
        <mc:AlternateContent xmlns:mc="http://schemas.openxmlformats.org/markup-compatibility/2006">
          <mc:Choice Requires="x14">
            <control shapeId="10276" r:id="rId7" name="Button 36">
              <controlPr locked="0" defaultSize="0" print="0" autoFill="0" autoPict="0" macro="[0]!Reset_Button" altText="Click to Reset Form">
                <anchor moveWithCells="1">
                  <from>
                    <xdr:col>10</xdr:col>
                    <xdr:colOff>571500</xdr:colOff>
                    <xdr:row>5</xdr:row>
                    <xdr:rowOff>123825</xdr:rowOff>
                  </from>
                  <to>
                    <xdr:col>12</xdr:col>
                    <xdr:colOff>47625</xdr:colOff>
                    <xdr:row>6</xdr:row>
                    <xdr:rowOff>276225</xdr:rowOff>
                  </to>
                </anchor>
              </controlPr>
            </control>
          </mc:Choice>
        </mc:AlternateContent>
        <mc:AlternateContent xmlns:mc="http://schemas.openxmlformats.org/markup-compatibility/2006">
          <mc:Choice Requires="x14">
            <control shapeId="10280" r:id="rId8" name="Button 40">
              <controlPr defaultSize="0" print="0" autoFill="0" autoPict="0" macro="[0]!Coal_Blend">
                <anchor moveWithCells="1" sizeWithCells="1">
                  <from>
                    <xdr:col>10</xdr:col>
                    <xdr:colOff>485775</xdr:colOff>
                    <xdr:row>22</xdr:row>
                    <xdr:rowOff>9525</xdr:rowOff>
                  </from>
                  <to>
                    <xdr:col>11</xdr:col>
                    <xdr:colOff>714375</xdr:colOff>
                    <xdr:row>22</xdr:row>
                    <xdr:rowOff>381000</xdr:rowOff>
                  </to>
                </anchor>
              </controlPr>
            </control>
          </mc:Choice>
        </mc:AlternateContent>
        <mc:AlternateContent xmlns:mc="http://schemas.openxmlformats.org/markup-compatibility/2006">
          <mc:Choice Requires="x14">
            <control shapeId="10281" r:id="rId9" name="Drop Down 41">
              <controlPr defaultSize="0" autoLine="0" autoPict="0" macro="[0]!Reagent_Change">
                <anchor moveWithCells="1">
                  <from>
                    <xdr:col>1</xdr:col>
                    <xdr:colOff>3429000</xdr:colOff>
                    <xdr:row>45</xdr:row>
                    <xdr:rowOff>200025</xdr:rowOff>
                  </from>
                  <to>
                    <xdr:col>2</xdr:col>
                    <xdr:colOff>828675</xdr:colOff>
                    <xdr:row>47</xdr:row>
                    <xdr:rowOff>38100</xdr:rowOff>
                  </to>
                </anchor>
              </controlPr>
            </control>
          </mc:Choice>
        </mc:AlternateContent>
        <mc:AlternateContent xmlns:mc="http://schemas.openxmlformats.org/markup-compatibility/2006">
          <mc:Choice Requires="x14">
            <control shapeId="10282" r:id="rId10" name="Drop Down 42">
              <controlPr defaultSize="0" autoLine="0" autoPict="0" macro="[0]!Retrofit_Change">
                <anchor moveWithCells="1">
                  <from>
                    <xdr:col>1</xdr:col>
                    <xdr:colOff>3181350</xdr:colOff>
                    <xdr:row>4</xdr:row>
                    <xdr:rowOff>114300</xdr:rowOff>
                  </from>
                  <to>
                    <xdr:col>2</xdr:col>
                    <xdr:colOff>628650</xdr:colOff>
                    <xdr:row>5</xdr:row>
                    <xdr:rowOff>19050</xdr:rowOff>
                  </to>
                </anchor>
              </controlPr>
            </control>
          </mc:Choice>
        </mc:AlternateContent>
        <mc:AlternateContent xmlns:mc="http://schemas.openxmlformats.org/markup-compatibility/2006">
          <mc:Choice Requires="x14">
            <control shapeId="10286" r:id="rId11" name="Option Button 46">
              <controlPr locked="0" defaultSize="0" autoFill="0" autoLine="0" autoPict="0">
                <anchor moveWithCells="1">
                  <from>
                    <xdr:col>11</xdr:col>
                    <xdr:colOff>381000</xdr:colOff>
                    <xdr:row>24</xdr:row>
                    <xdr:rowOff>114300</xdr:rowOff>
                  </from>
                  <to>
                    <xdr:col>12</xdr:col>
                    <xdr:colOff>752475</xdr:colOff>
                    <xdr:row>24</xdr:row>
                    <xdr:rowOff>381000</xdr:rowOff>
                  </to>
                </anchor>
              </controlPr>
            </control>
          </mc:Choice>
        </mc:AlternateContent>
        <mc:AlternateContent xmlns:mc="http://schemas.openxmlformats.org/markup-compatibility/2006">
          <mc:Choice Requires="x14">
            <control shapeId="10287" r:id="rId12" name="Option Button 47">
              <controlPr locked="0" defaultSize="0" autoFill="0" autoLine="0" autoPict="0">
                <anchor moveWithCells="1">
                  <from>
                    <xdr:col>11</xdr:col>
                    <xdr:colOff>390525</xdr:colOff>
                    <xdr:row>24</xdr:row>
                    <xdr:rowOff>276225</xdr:rowOff>
                  </from>
                  <to>
                    <xdr:col>12</xdr:col>
                    <xdr:colOff>514350</xdr:colOff>
                    <xdr:row>24</xdr:row>
                    <xdr:rowOff>657225</xdr:rowOff>
                  </to>
                </anchor>
              </controlPr>
            </control>
          </mc:Choice>
        </mc:AlternateContent>
        <mc:AlternateContent xmlns:mc="http://schemas.openxmlformats.org/markup-compatibility/2006">
          <mc:Choice Requires="x14">
            <control shapeId="10288" r:id="rId13" name="Option Button 48">
              <controlPr locked="0" defaultSize="0" autoFill="0" autoLine="0" autoPict="0">
                <anchor moveWithCells="1">
                  <from>
                    <xdr:col>11</xdr:col>
                    <xdr:colOff>390525</xdr:colOff>
                    <xdr:row>24</xdr:row>
                    <xdr:rowOff>552450</xdr:rowOff>
                  </from>
                  <to>
                    <xdr:col>12</xdr:col>
                    <xdr:colOff>790575</xdr:colOff>
                    <xdr:row>24</xdr:row>
                    <xdr:rowOff>800100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U62"/>
  <sheetViews>
    <sheetView showGridLines="0" zoomScaleNormal="100" workbookViewId="0">
      <selection activeCell="C14" sqref="C14"/>
    </sheetView>
  </sheetViews>
  <sheetFormatPr defaultColWidth="9.1328125" defaultRowHeight="14.25" x14ac:dyDescent="0.45"/>
  <cols>
    <col min="1" max="1" width="44.73046875" style="79" customWidth="1"/>
    <col min="2" max="2" width="52.73046875" style="79" customWidth="1"/>
    <col min="3" max="3" width="19.86328125" style="60" customWidth="1"/>
    <col min="4" max="4" width="27.1328125" style="60" customWidth="1"/>
    <col min="5" max="5" width="11.265625" style="60" customWidth="1"/>
    <col min="6" max="6" width="7.73046875" style="60" customWidth="1"/>
    <col min="7" max="7" width="9.1328125" style="60"/>
    <col min="8" max="8" width="6" style="60" customWidth="1"/>
    <col min="9" max="9" width="7.3984375" style="76" customWidth="1"/>
    <col min="10" max="15" width="9.1328125" style="76" hidden="1" customWidth="1"/>
    <col min="16" max="18" width="9.1328125" style="77" hidden="1" customWidth="1"/>
    <col min="19" max="20" width="9.1328125" style="78" hidden="1" customWidth="1"/>
    <col min="21" max="21" width="9.1328125" style="78" customWidth="1"/>
    <col min="22" max="22" width="9.1328125" style="60" customWidth="1"/>
    <col min="23" max="16384" width="9.1328125" style="60"/>
  </cols>
  <sheetData>
    <row r="1" spans="1:21" ht="23.25" x14ac:dyDescent="0.35">
      <c r="A1" s="453" t="s">
        <v>150</v>
      </c>
      <c r="B1" s="453"/>
      <c r="C1" s="453"/>
      <c r="D1" s="453"/>
      <c r="E1" s="453"/>
      <c r="F1" s="453"/>
      <c r="G1" s="453"/>
      <c r="H1" s="453"/>
    </row>
    <row r="3" spans="1:21" ht="31.5" customHeight="1" x14ac:dyDescent="0.25">
      <c r="A3" s="454" t="s">
        <v>151</v>
      </c>
      <c r="B3" s="454"/>
      <c r="C3" s="454"/>
      <c r="D3" s="454"/>
      <c r="E3" s="454"/>
      <c r="F3" s="454"/>
      <c r="G3" s="454"/>
      <c r="H3" s="454"/>
    </row>
    <row r="4" spans="1:21" ht="31.5" customHeight="1" x14ac:dyDescent="0.25">
      <c r="A4" s="340"/>
      <c r="B4" s="340"/>
      <c r="C4" s="340"/>
      <c r="D4" s="340"/>
      <c r="E4" s="340"/>
      <c r="F4" s="340"/>
      <c r="G4" s="340"/>
      <c r="H4" s="340"/>
    </row>
    <row r="5" spans="1:21" ht="18" customHeight="1" x14ac:dyDescent="0.25">
      <c r="A5" s="80" t="s">
        <v>152</v>
      </c>
      <c r="B5" s="80" t="s">
        <v>153</v>
      </c>
      <c r="C5" s="80" t="s">
        <v>154</v>
      </c>
      <c r="D5" s="80" t="s">
        <v>155</v>
      </c>
      <c r="E5" s="81"/>
      <c r="F5" s="81"/>
      <c r="G5" s="81"/>
      <c r="H5" s="81"/>
    </row>
    <row r="6" spans="1:21" s="83" customFormat="1" ht="18.75" x14ac:dyDescent="0.35">
      <c r="A6" s="82" t="s">
        <v>156</v>
      </c>
      <c r="B6" s="82" t="str">
        <f>IF('Data Inputs'!P8=2,"Bmw x NPHR =", "HHV x Max. Fuel Rate =")</f>
        <v>Bmw x NPHR =</v>
      </c>
      <c r="C6" s="53">
        <f>IF('Data Inputs'!P8=2,('Data Inputs'!C10*'Data Inputs'!C17),'Data Inputs'!C10)</f>
        <v>5580</v>
      </c>
      <c r="D6" s="67" t="s">
        <v>157</v>
      </c>
      <c r="I6" s="84"/>
      <c r="J6" s="84"/>
      <c r="K6" s="84"/>
      <c r="L6" s="84"/>
      <c r="M6" s="84"/>
      <c r="N6" s="84"/>
      <c r="O6" s="84"/>
      <c r="P6" s="85"/>
      <c r="Q6" s="85"/>
      <c r="R6" s="85"/>
      <c r="S6" s="86"/>
      <c r="T6" s="86"/>
      <c r="U6" s="86"/>
    </row>
    <row r="7" spans="1:21" s="83" customFormat="1" ht="15.75" x14ac:dyDescent="0.25">
      <c r="A7" s="82" t="str">
        <f>IF('Data Inputs'!P8=2,"Maximum Annual MW Output (Bmw) =",(IF('Data Inputs'!P8=3,"Maximum Annual fuel consumption (mfuel) ="," ")))</f>
        <v>Maximum Annual MW Output (Bmw) =</v>
      </c>
      <c r="B7" s="82" t="str">
        <f>IF('Data Inputs'!P8=2, "Bmw x 8760 = ", (IF('Data Inputs'!P8=3, "(QB x 1.0E6 x 8760)/HHV =", " ")))</f>
        <v xml:space="preserve">Bmw x 8760 = </v>
      </c>
      <c r="C7" s="53">
        <f>IF('Data Inputs'!P8=3,((('SCR Design Parameters'!C6*8760/'Data Inputs'!C12)*1000000)),(IF('Data Inputs'!P8=2,('Data Inputs'!C10*8760)," ")))</f>
        <v>4888080</v>
      </c>
      <c r="D7" s="67" t="str">
        <f>'Data Inputs'!D14</f>
        <v>MWhs</v>
      </c>
      <c r="I7" s="84"/>
      <c r="J7" s="84"/>
      <c r="K7" s="84"/>
      <c r="L7" s="84"/>
      <c r="M7" s="84"/>
      <c r="N7" s="84"/>
      <c r="O7" s="84"/>
      <c r="P7" s="85"/>
      <c r="Q7" s="85"/>
      <c r="R7" s="85"/>
      <c r="S7" s="86"/>
      <c r="T7" s="86"/>
      <c r="U7" s="86"/>
    </row>
    <row r="8" spans="1:21" s="83" customFormat="1" ht="31.5" x14ac:dyDescent="0.25">
      <c r="A8" s="87" t="str">
        <f>IF('Data Inputs'!P8=2,"Estimated Actual Annual MWhs Output (Boutput) =",(IF('Data Inputs'!P8=3,"Actual Annual fuel consumption (Mactual) ="," ")))</f>
        <v>Estimated Actual Annual MWhs Output (Boutput) =</v>
      </c>
      <c r="B8" s="87"/>
      <c r="C8" s="53">
        <f>'Data Inputs'!C14</f>
        <v>2797892</v>
      </c>
      <c r="D8" s="67" t="str">
        <f>'Data Inputs'!D14</f>
        <v>MWhs</v>
      </c>
      <c r="E8" s="90"/>
      <c r="I8" s="84"/>
      <c r="J8" s="84"/>
      <c r="K8" s="84"/>
      <c r="L8" s="84"/>
      <c r="M8" s="84"/>
      <c r="N8" s="84"/>
      <c r="O8" s="84"/>
      <c r="P8" s="85"/>
      <c r="Q8" s="85"/>
      <c r="R8" s="85"/>
      <c r="S8" s="86"/>
      <c r="T8" s="86"/>
      <c r="U8" s="86"/>
    </row>
    <row r="9" spans="1:21" s="83" customFormat="1" ht="15.75" x14ac:dyDescent="0.25">
      <c r="A9" s="87" t="s">
        <v>158</v>
      </c>
      <c r="B9" s="87" t="s">
        <v>159</v>
      </c>
      <c r="C9" s="51">
        <f>'Data Inputs'!C17/10</f>
        <v>1</v>
      </c>
      <c r="D9" s="67"/>
      <c r="I9" s="84"/>
      <c r="J9" s="84"/>
      <c r="K9" s="84"/>
      <c r="L9" s="84"/>
      <c r="M9" s="84"/>
      <c r="N9" s="84"/>
      <c r="O9" s="84"/>
      <c r="P9" s="85"/>
      <c r="Q9" s="85"/>
      <c r="R9" s="85"/>
      <c r="S9" s="86"/>
      <c r="T9" s="86"/>
      <c r="U9" s="86"/>
    </row>
    <row r="10" spans="1:21" s="83" customFormat="1" ht="18.75" x14ac:dyDescent="0.35">
      <c r="A10" s="82" t="s">
        <v>160</v>
      </c>
      <c r="B10" s="82" t="str">
        <f>IF('Data Inputs'!P8=2, "(Boutput/Bmw)*(tscr/tplant) =", (IF('Data Inputs'!P8=3, "(Mactual/Mfuel) x (tscr/tplant)  =", " ")))</f>
        <v>(Boutput/Bmw)*(tscr/tplant) =</v>
      </c>
      <c r="C10" s="297">
        <f>(C8/C7)*('Data Inputs'!C31/'Data Inputs'!C32)</f>
        <v>0.57239079556799399</v>
      </c>
      <c r="D10" s="67" t="s">
        <v>161</v>
      </c>
      <c r="G10" s="111"/>
      <c r="I10" s="84"/>
      <c r="J10" s="84"/>
      <c r="K10" s="84"/>
      <c r="L10" s="84"/>
      <c r="M10" s="84"/>
      <c r="N10" s="84"/>
      <c r="O10" s="84"/>
      <c r="P10" s="85"/>
      <c r="Q10" s="85"/>
      <c r="R10" s="85"/>
      <c r="S10" s="86"/>
      <c r="T10" s="86"/>
      <c r="U10" s="86"/>
    </row>
    <row r="11" spans="1:21" s="83" customFormat="1" ht="18.75" x14ac:dyDescent="0.35">
      <c r="A11" s="82" t="s">
        <v>162</v>
      </c>
      <c r="B11" s="82" t="s">
        <v>163</v>
      </c>
      <c r="C11" s="69">
        <f>C10*8760</f>
        <v>5014.1433691756274</v>
      </c>
      <c r="D11" s="67" t="s">
        <v>164</v>
      </c>
      <c r="G11" s="111"/>
      <c r="I11" s="84"/>
      <c r="J11" s="84"/>
      <c r="K11" s="84"/>
      <c r="L11" s="84"/>
      <c r="M11" s="84"/>
      <c r="N11" s="84"/>
      <c r="O11" s="84"/>
      <c r="P11" s="85"/>
      <c r="Q11" s="85"/>
      <c r="R11" s="85"/>
      <c r="S11" s="86"/>
      <c r="T11" s="86"/>
      <c r="U11" s="86"/>
    </row>
    <row r="12" spans="1:21" s="83" customFormat="1" ht="18.75" x14ac:dyDescent="0.35">
      <c r="A12" s="82" t="s">
        <v>165</v>
      </c>
      <c r="B12" s="82" t="s">
        <v>166</v>
      </c>
      <c r="C12" s="222">
        <f>(('Data Inputs'!C33-'Data Inputs'!C34)/'Data Inputs'!C33)*100</f>
        <v>70.430107526881727</v>
      </c>
      <c r="D12" s="67" t="s">
        <v>167</v>
      </c>
      <c r="I12" s="84"/>
      <c r="J12" s="84"/>
      <c r="K12" s="84"/>
      <c r="L12" s="84"/>
      <c r="M12" s="84"/>
      <c r="N12" s="84"/>
      <c r="O12" s="84"/>
      <c r="P12" s="85"/>
      <c r="Q12" s="85"/>
      <c r="R12" s="85"/>
      <c r="S12" s="86"/>
      <c r="T12" s="86"/>
      <c r="U12" s="86"/>
    </row>
    <row r="13" spans="1:21" s="83" customFormat="1" ht="18.75" x14ac:dyDescent="0.35">
      <c r="A13" s="82" t="s">
        <v>168</v>
      </c>
      <c r="B13" s="82" t="s">
        <v>169</v>
      </c>
      <c r="C13" s="68">
        <f>(C12/100)*'Data Inputs'!C33*'SCR Design Parameters'!C6</f>
        <v>730.98</v>
      </c>
      <c r="D13" s="67" t="s">
        <v>170</v>
      </c>
      <c r="I13" s="84"/>
      <c r="J13" s="84"/>
      <c r="K13" s="84"/>
      <c r="L13" s="84"/>
      <c r="M13" s="84"/>
      <c r="N13" s="84"/>
      <c r="O13" s="84"/>
      <c r="P13" s="85"/>
      <c r="Q13" s="85"/>
      <c r="R13" s="85"/>
      <c r="S13" s="86"/>
      <c r="T13" s="86"/>
      <c r="U13" s="86"/>
    </row>
    <row r="14" spans="1:21" s="83" customFormat="1" ht="18.75" x14ac:dyDescent="0.35">
      <c r="A14" s="82" t="s">
        <v>171</v>
      </c>
      <c r="B14" s="82" t="s">
        <v>172</v>
      </c>
      <c r="C14" s="51">
        <f>C13*C11/2000</f>
        <v>1832.6192599999999</v>
      </c>
      <c r="D14" s="67" t="s">
        <v>173</v>
      </c>
      <c r="I14" s="84"/>
      <c r="J14" s="84"/>
      <c r="K14" s="84"/>
      <c r="L14" s="84"/>
      <c r="M14" s="84"/>
      <c r="N14" s="84"/>
      <c r="O14" s="84"/>
      <c r="P14" s="85"/>
      <c r="Q14" s="85"/>
      <c r="R14" s="85"/>
      <c r="S14" s="86"/>
      <c r="T14" s="86"/>
      <c r="U14" s="86"/>
    </row>
    <row r="15" spans="1:21" s="83" customFormat="1" ht="18.75" x14ac:dyDescent="0.35">
      <c r="A15" s="82" t="s">
        <v>174</v>
      </c>
      <c r="B15" s="82" t="s">
        <v>175</v>
      </c>
      <c r="C15" s="51">
        <f>C12/80</f>
        <v>0.88037634408602161</v>
      </c>
      <c r="D15" s="67"/>
      <c r="I15" s="84"/>
      <c r="J15" s="84"/>
      <c r="K15" s="84"/>
      <c r="L15" s="84"/>
      <c r="M15" s="84"/>
      <c r="N15" s="84"/>
      <c r="O15" s="84"/>
      <c r="P15" s="85"/>
      <c r="Q15" s="85"/>
      <c r="R15" s="85"/>
      <c r="S15" s="86"/>
      <c r="T15" s="86"/>
      <c r="U15" s="86"/>
    </row>
    <row r="16" spans="1:21" s="83" customFormat="1" ht="18.75" x14ac:dyDescent="0.35">
      <c r="A16" s="82" t="s">
        <v>176</v>
      </c>
      <c r="B16" s="82" t="s">
        <v>177</v>
      </c>
      <c r="C16" s="53">
        <f>IF(OR('Data Inputs'!K36="UNK", 'Data Inputs'!K36=" "), ('Data Inputs'!K40*'SCR Design Parameters'!C6*(460+'Data Inputs'!K39))/((460+700)*'Data Inputs'!K31), 'Data Inputs'!K36)</f>
        <v>2755173.1034482759</v>
      </c>
      <c r="D16" s="67" t="s">
        <v>91</v>
      </c>
      <c r="I16" s="84"/>
      <c r="J16" s="84"/>
      <c r="K16" s="84"/>
      <c r="L16" s="84"/>
      <c r="M16" s="84"/>
      <c r="N16" s="84"/>
      <c r="O16" s="84"/>
      <c r="P16" s="85"/>
      <c r="Q16" s="85"/>
      <c r="R16" s="85"/>
      <c r="S16" s="86"/>
      <c r="T16" s="86"/>
      <c r="U16" s="86"/>
    </row>
    <row r="17" spans="1:21" s="83" customFormat="1" ht="20.25" customHeight="1" x14ac:dyDescent="0.35">
      <c r="A17" s="82" t="s">
        <v>178</v>
      </c>
      <c r="B17" s="82" t="s">
        <v>179</v>
      </c>
      <c r="C17" s="51">
        <f>C16/C31</f>
        <v>141.72548831705936</v>
      </c>
      <c r="D17" s="67" t="s">
        <v>180</v>
      </c>
      <c r="I17" s="84"/>
      <c r="J17" s="84"/>
      <c r="K17" s="84"/>
      <c r="L17" s="84"/>
      <c r="M17" s="84"/>
      <c r="N17" s="84"/>
      <c r="O17" s="84"/>
      <c r="P17" s="85"/>
      <c r="Q17" s="85"/>
      <c r="R17" s="85"/>
      <c r="S17" s="86"/>
      <c r="T17" s="86"/>
      <c r="U17" s="86"/>
    </row>
    <row r="18" spans="1:21" s="83" customFormat="1" ht="20.25" customHeight="1" x14ac:dyDescent="0.35">
      <c r="A18" s="82" t="s">
        <v>181</v>
      </c>
      <c r="B18" s="83" t="s">
        <v>182</v>
      </c>
      <c r="C18" s="51">
        <f>1/C17</f>
        <v>7.0558938400893901E-3</v>
      </c>
      <c r="D18" s="67" t="s">
        <v>183</v>
      </c>
      <c r="I18" s="84"/>
      <c r="J18" s="84"/>
      <c r="K18" s="84"/>
      <c r="L18" s="84"/>
      <c r="M18" s="84"/>
      <c r="N18" s="84"/>
      <c r="O18" s="84"/>
      <c r="P18" s="85"/>
      <c r="Q18" s="85"/>
      <c r="R18" s="85"/>
      <c r="S18" s="86"/>
      <c r="T18" s="86"/>
      <c r="U18" s="86"/>
    </row>
    <row r="19" spans="1:21" s="83" customFormat="1" ht="45" customHeight="1" x14ac:dyDescent="0.25">
      <c r="A19" s="87" t="s">
        <v>184</v>
      </c>
      <c r="B19" s="87" t="s">
        <v>185</v>
      </c>
      <c r="C19" s="51">
        <f>IF('Data Inputs'!P17=2, (IF('Data Inputs'!S12=2,1,(IF('Data Inputs'!S12=3,1.05,(IF('Data Inputs'!S12=4,1.07,L19)))))), 1)</f>
        <v>1.05</v>
      </c>
      <c r="D19" s="67"/>
      <c r="E19" s="449"/>
      <c r="F19" s="449"/>
      <c r="G19" s="449"/>
      <c r="H19" s="449"/>
      <c r="I19" s="84"/>
      <c r="J19" s="84"/>
      <c r="K19" s="84"/>
      <c r="L19" s="160" t="e">
        <f>((1*'Data Inputs'!I19)+(1.05*'Data Inputs'!I20)+(1.07*'Data Inputs'!I21))/SUM('Data Inputs'!I19:I21)</f>
        <v>#DIV/0!</v>
      </c>
      <c r="M19" s="84" t="s">
        <v>186</v>
      </c>
      <c r="N19" s="84"/>
      <c r="O19" s="84"/>
      <c r="P19" s="85"/>
      <c r="Q19" s="85"/>
      <c r="R19" s="85"/>
      <c r="S19" s="86"/>
      <c r="T19" s="86"/>
      <c r="U19" s="86"/>
    </row>
    <row r="20" spans="1:21" s="83" customFormat="1" ht="33" customHeight="1" x14ac:dyDescent="0.25">
      <c r="A20" s="88" t="s">
        <v>187</v>
      </c>
      <c r="B20" s="88" t="s">
        <v>188</v>
      </c>
      <c r="C20" s="66" t="str">
        <f>IF('Data Inputs'!V11=2,"&lt; 3",(IF('Data Inputs'!V11=3,"&gt; 3"," ")))</f>
        <v>&lt; 3</v>
      </c>
      <c r="D20" s="67" t="str">
        <f>IF('Data Inputs'!P17=2, "lbs/MMBtu", " ")</f>
        <v>lbs/MMBtu</v>
      </c>
      <c r="E20" s="448" t="str">
        <f>IF('Data Inputs'!P17&lt;&gt;2,"Not applicable; factor applies only to coal-fired boilers", " ")</f>
        <v xml:space="preserve"> </v>
      </c>
      <c r="F20" s="449"/>
      <c r="G20" s="449"/>
      <c r="H20" s="449"/>
      <c r="I20" s="84"/>
      <c r="J20" s="84"/>
      <c r="K20" s="84"/>
      <c r="L20" s="84"/>
      <c r="M20" s="84"/>
      <c r="N20" s="84"/>
      <c r="O20" s="84"/>
      <c r="P20" s="85"/>
      <c r="Q20" s="85"/>
      <c r="R20" s="85"/>
      <c r="S20" s="86"/>
      <c r="T20" s="86"/>
      <c r="U20" s="86"/>
    </row>
    <row r="21" spans="1:21" s="83" customFormat="1" ht="25.5" customHeight="1" x14ac:dyDescent="0.5">
      <c r="A21" s="88" t="s">
        <v>189</v>
      </c>
      <c r="B21" s="88" t="s">
        <v>190</v>
      </c>
      <c r="C21" s="51" t="str">
        <f>IF('Data Inputs'!C24&lt;500, " ", (14.7/C22))</f>
        <v xml:space="preserve"> </v>
      </c>
      <c r="D21" s="67"/>
      <c r="E21" s="450" t="str">
        <f>IF('Data Inputs'!C24&lt;500, "Not applicable; elevation factor does not apply to plants located at elevations below 500 feet.", " ")</f>
        <v>Not applicable; elevation factor does not apply to plants located at elevations below 500 feet.</v>
      </c>
      <c r="F21" s="451"/>
      <c r="G21" s="451"/>
      <c r="H21" s="451"/>
      <c r="I21" s="161"/>
      <c r="J21" s="84"/>
      <c r="K21" s="84"/>
      <c r="L21" s="84"/>
      <c r="M21" s="84"/>
      <c r="N21" s="84"/>
      <c r="O21" s="84"/>
      <c r="P21" s="85"/>
      <c r="Q21" s="85"/>
      <c r="R21" s="85"/>
      <c r="S21" s="86"/>
      <c r="T21" s="86"/>
      <c r="U21" s="86"/>
    </row>
    <row r="22" spans="1:21" s="83" customFormat="1" ht="41.25" customHeight="1" x14ac:dyDescent="0.5">
      <c r="A22" s="89" t="str">
        <f>IF('Data Inputs'!I32=0,"Atmospheric pressure at sea level (P) =","Atmospheric pressure at "&amp;'Data Inputs'!I32&amp;" feet above sea level (P) =")</f>
        <v>Atmospheric pressure at sea level (P) =</v>
      </c>
      <c r="B22" s="120" t="s">
        <v>191</v>
      </c>
      <c r="C22" s="121">
        <f>(2116)*(((59-(0.00356*'Data Inputs'!C24)+459.7)/518.6)^5.256)*(1/144)</f>
        <v>14.577172177050217</v>
      </c>
      <c r="D22" s="67" t="s">
        <v>192</v>
      </c>
      <c r="E22" s="450"/>
      <c r="F22" s="451"/>
      <c r="G22" s="451"/>
      <c r="H22" s="451"/>
      <c r="I22" s="84"/>
      <c r="J22" s="84"/>
      <c r="K22" s="84"/>
      <c r="L22" s="84"/>
      <c r="M22" s="84"/>
      <c r="N22" s="84"/>
      <c r="O22" s="84"/>
      <c r="P22" s="85"/>
      <c r="Q22" s="85"/>
      <c r="R22" s="85"/>
      <c r="S22" s="86"/>
      <c r="T22" s="86"/>
      <c r="U22" s="86"/>
    </row>
    <row r="23" spans="1:21" s="83" customFormat="1" ht="21.75" hidden="1" customHeight="1" x14ac:dyDescent="0.25">
      <c r="A23" s="89"/>
      <c r="B23" s="214" t="str">
        <f>IF('Data Inputs'!S8=2,"New Construction",(IF('Data Inputs'!S8=3,"SNCR Retrofit"," ")))</f>
        <v>SNCR Retrofit</v>
      </c>
      <c r="C23" s="215">
        <f>IF('Data Inputs'!S8=2,1,(IF('Data Inputs'!S8=3,1.19," ")))</f>
        <v>1.19</v>
      </c>
      <c r="D23" s="189"/>
      <c r="E23" s="341"/>
      <c r="F23" s="341"/>
      <c r="G23" s="341"/>
      <c r="H23" s="341"/>
      <c r="I23" s="216"/>
      <c r="J23" s="216"/>
      <c r="K23" s="216"/>
      <c r="L23" s="216"/>
      <c r="M23" s="216"/>
      <c r="N23" s="216"/>
      <c r="O23" s="216"/>
      <c r="P23" s="217"/>
      <c r="Q23" s="217"/>
      <c r="R23" s="217"/>
    </row>
    <row r="24" spans="1:21" s="83" customFormat="1" ht="21.75" customHeight="1" x14ac:dyDescent="0.5">
      <c r="A24" s="87" t="s">
        <v>193</v>
      </c>
      <c r="B24" s="214" t="str">
        <f>IF('Data Inputs'!S8=2,"New Construction",(IF('Data Inputs'!S8=3,"Retrofit to existing boiler"," ")))</f>
        <v>Retrofit to existing boiler</v>
      </c>
      <c r="C24" s="224">
        <f>IF('Data Inputs'!S8=2, 0.8, (IF('Data Inputs'!S8=3, 'Data Inputs'!D7, " ")))</f>
        <v>1</v>
      </c>
      <c r="D24" s="67"/>
      <c r="E24" s="341"/>
      <c r="F24" s="341"/>
      <c r="G24" s="341"/>
      <c r="H24" s="341"/>
      <c r="I24" s="216"/>
      <c r="J24" s="216"/>
      <c r="K24" s="216"/>
      <c r="L24" s="216"/>
      <c r="M24" s="216"/>
      <c r="N24" s="216"/>
      <c r="O24" s="216"/>
      <c r="P24" s="217"/>
      <c r="Q24" s="217"/>
      <c r="R24" s="217"/>
    </row>
    <row r="25" spans="1:21" s="83" customFormat="1" ht="37.5" customHeight="1" x14ac:dyDescent="0.5">
      <c r="A25" s="452" t="s">
        <v>194</v>
      </c>
      <c r="B25" s="452"/>
      <c r="C25" s="452"/>
      <c r="D25" s="452"/>
      <c r="I25" s="84"/>
      <c r="J25" s="84"/>
      <c r="K25" s="84"/>
      <c r="L25" s="84"/>
      <c r="M25" s="84"/>
      <c r="N25" s="84"/>
      <c r="O25" s="84"/>
      <c r="P25" s="85"/>
      <c r="Q25" s="85"/>
      <c r="R25" s="85"/>
      <c r="S25" s="86"/>
      <c r="T25" s="86"/>
      <c r="U25" s="86"/>
    </row>
    <row r="26" spans="1:21" s="83" customFormat="1" ht="15" customHeight="1" x14ac:dyDescent="0.5">
      <c r="A26" s="172"/>
      <c r="B26" s="172"/>
      <c r="C26" s="172"/>
      <c r="D26" s="172"/>
      <c r="I26" s="84"/>
      <c r="J26" s="84"/>
      <c r="K26" s="84"/>
      <c r="L26" s="84"/>
      <c r="M26" s="84"/>
      <c r="N26" s="84"/>
      <c r="O26" s="84"/>
      <c r="P26" s="85"/>
      <c r="Q26" s="85"/>
      <c r="R26" s="85"/>
      <c r="S26" s="86"/>
      <c r="T26" s="86"/>
      <c r="U26" s="86"/>
    </row>
    <row r="27" spans="1:21" s="83" customFormat="1" ht="15.75" customHeight="1" x14ac:dyDescent="0.5">
      <c r="A27" s="91" t="s">
        <v>195</v>
      </c>
      <c r="B27" s="172"/>
      <c r="C27" s="172"/>
      <c r="D27" s="172"/>
      <c r="I27" s="84"/>
      <c r="J27" s="84"/>
      <c r="K27" s="84"/>
      <c r="L27" s="84"/>
      <c r="M27" s="84"/>
      <c r="N27" s="84"/>
      <c r="O27" s="84"/>
      <c r="P27" s="85"/>
      <c r="Q27" s="85"/>
      <c r="R27" s="85"/>
      <c r="S27" s="86"/>
      <c r="T27" s="86"/>
      <c r="U27" s="86"/>
    </row>
    <row r="28" spans="1:21" s="83" customFormat="1" ht="14.25" customHeight="1" x14ac:dyDescent="0.5">
      <c r="A28" s="172"/>
      <c r="B28" s="172"/>
      <c r="C28" s="172"/>
      <c r="D28" s="172"/>
      <c r="I28" s="84"/>
      <c r="J28" s="84"/>
      <c r="K28" s="84"/>
      <c r="L28" s="84"/>
      <c r="M28" s="84"/>
      <c r="N28" s="84"/>
      <c r="O28" s="84"/>
      <c r="P28" s="85"/>
      <c r="Q28" s="85"/>
      <c r="R28" s="85"/>
      <c r="S28" s="86"/>
      <c r="T28" s="86"/>
      <c r="U28" s="86"/>
    </row>
    <row r="29" spans="1:21" ht="18" customHeight="1" x14ac:dyDescent="0.45">
      <c r="A29" s="80" t="s">
        <v>152</v>
      </c>
      <c r="B29" s="80" t="s">
        <v>153</v>
      </c>
      <c r="C29" s="80" t="s">
        <v>154</v>
      </c>
      <c r="D29" s="80" t="s">
        <v>155</v>
      </c>
      <c r="E29" s="81"/>
      <c r="F29" s="81"/>
      <c r="G29" s="81"/>
      <c r="H29" s="81"/>
      <c r="L29" s="76">
        <f>(0.2869+(1.058*C12/100))</f>
        <v>1.0320505376344087</v>
      </c>
      <c r="M29" s="76" t="s">
        <v>196</v>
      </c>
    </row>
    <row r="30" spans="1:21" ht="49.5" customHeight="1" x14ac:dyDescent="0.45">
      <c r="A30" s="193" t="s">
        <v>197</v>
      </c>
      <c r="B30" s="176" t="s">
        <v>198</v>
      </c>
      <c r="C30" s="300">
        <f>ROUND(('Data Inputs'!C54/100)/(((1+('Data Inputs'!C54/100))^N30)-1),4)</f>
        <v>0.31109999999999999</v>
      </c>
      <c r="D30" s="199" t="s">
        <v>199</v>
      </c>
      <c r="E30" s="81"/>
      <c r="F30" s="81"/>
      <c r="G30" s="81"/>
      <c r="L30" s="76">
        <f>(1.2835-(0.0567*'Data Inputs'!K34))</f>
        <v>1.1701000000000001</v>
      </c>
      <c r="M30" s="76" t="s">
        <v>200</v>
      </c>
      <c r="N30" s="81">
        <f>ROUND('Data Inputs'!C38/('Data Inputs'!C31*24),0)</f>
        <v>3</v>
      </c>
    </row>
    <row r="31" spans="1:21" ht="35.25" customHeight="1" x14ac:dyDescent="0.55000000000000004">
      <c r="A31" s="193" t="s">
        <v>201</v>
      </c>
      <c r="B31" s="176" t="s">
        <v>202</v>
      </c>
      <c r="C31" s="200">
        <f>IF(OR('Data Inputs'!K35="UNK",'Data Inputs'!K35=" "),(2.81*C6*'SCR Design Parameters'!L29*'SCR Design Parameters'!L30*'SCR Design Parameters'!L31*'SCR Design Parameters'!L32*('SCR Design Parameters'!L34/'Data Inputs'!K31)), 'Data Inputs'!K35)</f>
        <v>19440.208929000659</v>
      </c>
      <c r="D31" s="201" t="s">
        <v>89</v>
      </c>
      <c r="E31" s="81"/>
      <c r="F31" s="81"/>
      <c r="G31" s="81"/>
      <c r="H31" s="81"/>
      <c r="L31" s="76">
        <f>(0.8524+(0.3208*'Data Inputs'!C33))</f>
        <v>0.91206880000000001</v>
      </c>
      <c r="M31" s="76" t="s">
        <v>203</v>
      </c>
    </row>
    <row r="32" spans="1:21" s="83" customFormat="1" ht="18" x14ac:dyDescent="0.5">
      <c r="A32" s="195" t="s">
        <v>204</v>
      </c>
      <c r="B32" s="195" t="s">
        <v>205</v>
      </c>
      <c r="C32" s="202">
        <f>C16/(16*60)</f>
        <v>2869.9719827586209</v>
      </c>
      <c r="D32" s="203" t="s">
        <v>206</v>
      </c>
      <c r="I32" s="84"/>
      <c r="J32" s="84"/>
      <c r="K32" s="84"/>
      <c r="L32" s="84">
        <f>IF('Data Inputs'!P17=2, (0.9636+(0.0455*'Data Inputs'!I12)), 0.9636)</f>
        <v>0.98225499999999999</v>
      </c>
      <c r="M32" s="84" t="s">
        <v>207</v>
      </c>
      <c r="N32" s="84"/>
      <c r="O32" s="84"/>
      <c r="P32" s="85"/>
      <c r="Q32" s="85"/>
      <c r="R32" s="85"/>
      <c r="S32" s="86"/>
      <c r="T32" s="86"/>
      <c r="U32" s="86"/>
    </row>
    <row r="33" spans="1:21" s="83" customFormat="1" ht="33.75" x14ac:dyDescent="0.5">
      <c r="A33" s="195" t="s">
        <v>208</v>
      </c>
      <c r="B33" s="195" t="s">
        <v>209</v>
      </c>
      <c r="C33" s="202">
        <f>(C31/('Data Inputs'!K32*'SCR Design Parameters'!C32)+1)</f>
        <v>3.2578860288286049</v>
      </c>
      <c r="D33" s="203" t="s">
        <v>210</v>
      </c>
      <c r="I33" s="84"/>
      <c r="J33" s="84"/>
      <c r="K33" s="84"/>
      <c r="L33" s="84"/>
      <c r="M33" s="84"/>
      <c r="N33" s="84"/>
      <c r="O33" s="84"/>
      <c r="P33" s="85"/>
      <c r="Q33" s="85"/>
      <c r="R33" s="85"/>
      <c r="S33" s="86"/>
      <c r="T33" s="86"/>
      <c r="U33" s="86"/>
    </row>
    <row r="34" spans="1:21" s="83" customFormat="1" ht="15.75" x14ac:dyDescent="0.5">
      <c r="I34" s="84"/>
      <c r="J34" s="84"/>
      <c r="K34" s="84"/>
      <c r="L34" s="84">
        <f>(15.16-(0.03937*'Data Inputs'!K39)+(0.0000274*('Data Inputs'!K39)^2))</f>
        <v>1.1459999999999972</v>
      </c>
      <c r="M34" s="84" t="s">
        <v>211</v>
      </c>
      <c r="N34" s="84"/>
      <c r="O34" s="84"/>
      <c r="P34" s="85"/>
      <c r="Q34" s="85"/>
      <c r="R34" s="85"/>
      <c r="S34" s="86"/>
      <c r="T34" s="86"/>
      <c r="U34" s="86"/>
    </row>
    <row r="35" spans="1:21" s="83" customFormat="1" ht="15.75" x14ac:dyDescent="0.5">
      <c r="A35" s="91" t="s">
        <v>212</v>
      </c>
      <c r="B35" s="196"/>
      <c r="C35" s="197"/>
      <c r="D35" s="198"/>
      <c r="I35" s="84"/>
      <c r="J35" s="84"/>
      <c r="K35" s="84"/>
      <c r="L35" s="84"/>
      <c r="M35" s="84"/>
      <c r="N35" s="84"/>
      <c r="O35" s="84"/>
      <c r="P35" s="85"/>
      <c r="Q35" s="85"/>
      <c r="R35" s="85"/>
      <c r="S35" s="86"/>
      <c r="T35" s="86"/>
      <c r="U35" s="86"/>
    </row>
    <row r="36" spans="1:21" s="83" customFormat="1" ht="15.75" x14ac:dyDescent="0.5">
      <c r="A36" s="196"/>
      <c r="B36" s="196"/>
      <c r="C36" s="197"/>
      <c r="D36" s="198"/>
      <c r="I36" s="84"/>
      <c r="J36" s="84"/>
      <c r="K36" s="84"/>
      <c r="L36" s="84"/>
      <c r="M36" s="84"/>
      <c r="N36" s="84"/>
      <c r="O36" s="84"/>
      <c r="P36" s="85"/>
      <c r="Q36" s="85"/>
      <c r="R36" s="85"/>
      <c r="S36" s="86"/>
      <c r="T36" s="86"/>
      <c r="U36" s="86"/>
    </row>
    <row r="37" spans="1:21" s="83" customFormat="1" ht="15.75" x14ac:dyDescent="0.5">
      <c r="A37" s="80" t="s">
        <v>152</v>
      </c>
      <c r="B37" s="80" t="s">
        <v>153</v>
      </c>
      <c r="C37" s="80" t="s">
        <v>154</v>
      </c>
      <c r="D37" s="80" t="s">
        <v>155</v>
      </c>
      <c r="I37" s="84"/>
      <c r="J37" s="84"/>
      <c r="K37" s="84"/>
      <c r="L37" s="84"/>
      <c r="M37" s="84"/>
      <c r="N37" s="84"/>
      <c r="O37" s="84"/>
      <c r="P37" s="85"/>
      <c r="Q37" s="85"/>
      <c r="R37" s="85"/>
      <c r="S37" s="86"/>
      <c r="T37" s="86"/>
      <c r="U37" s="86"/>
    </row>
    <row r="38" spans="1:21" s="83" customFormat="1" ht="18" x14ac:dyDescent="0.65">
      <c r="A38" s="194" t="s">
        <v>213</v>
      </c>
      <c r="B38" s="194" t="s">
        <v>214</v>
      </c>
      <c r="C38" s="202">
        <f>1.15*C32</f>
        <v>3300.4677801724138</v>
      </c>
      <c r="D38" s="203" t="s">
        <v>206</v>
      </c>
      <c r="I38" s="84"/>
      <c r="J38" s="84"/>
      <c r="K38" s="84"/>
      <c r="L38" s="84"/>
      <c r="M38" s="84"/>
      <c r="N38" s="84"/>
      <c r="O38" s="84"/>
      <c r="P38" s="85"/>
      <c r="Q38" s="85"/>
      <c r="R38" s="85"/>
      <c r="S38" s="86"/>
      <c r="T38" s="86"/>
      <c r="U38" s="86"/>
    </row>
    <row r="39" spans="1:21" s="83" customFormat="1" ht="31.5" x14ac:dyDescent="0.5">
      <c r="A39" s="194" t="s">
        <v>215</v>
      </c>
      <c r="B39" s="195" t="s">
        <v>216</v>
      </c>
      <c r="C39" s="221">
        <f>(C38)^0.5</f>
        <v>57.449697824900817</v>
      </c>
      <c r="D39" s="203" t="s">
        <v>210</v>
      </c>
      <c r="I39" s="84"/>
      <c r="J39" s="84"/>
      <c r="K39" s="84"/>
      <c r="L39" s="84"/>
      <c r="M39" s="84"/>
      <c r="N39" s="84"/>
      <c r="O39" s="84"/>
      <c r="P39" s="85"/>
      <c r="Q39" s="85"/>
      <c r="R39" s="85"/>
      <c r="S39" s="86"/>
      <c r="T39" s="86"/>
      <c r="U39" s="86"/>
    </row>
    <row r="40" spans="1:21" s="83" customFormat="1" ht="18" x14ac:dyDescent="0.65">
      <c r="A40" s="194" t="s">
        <v>217</v>
      </c>
      <c r="B40" s="194" t="s">
        <v>218</v>
      </c>
      <c r="C40" s="202">
        <f>('Data Inputs'!K32+'Data Inputs'!K33)*(7+C33)+9</f>
        <v>50.031544115314418</v>
      </c>
      <c r="D40" s="203" t="s">
        <v>210</v>
      </c>
      <c r="I40" s="84"/>
      <c r="J40" s="84"/>
      <c r="K40" s="84"/>
      <c r="L40" s="84"/>
      <c r="M40" s="84"/>
      <c r="N40" s="84"/>
      <c r="O40" s="84"/>
      <c r="P40" s="85"/>
      <c r="Q40" s="85"/>
      <c r="R40" s="85"/>
      <c r="S40" s="86"/>
      <c r="T40" s="86"/>
      <c r="U40" s="86"/>
    </row>
    <row r="41" spans="1:21" s="83" customFormat="1" ht="15.75" x14ac:dyDescent="0.5">
      <c r="I41" s="84"/>
      <c r="J41" s="84"/>
      <c r="K41" s="84"/>
      <c r="L41" s="84"/>
      <c r="M41" s="84"/>
      <c r="N41" s="84"/>
      <c r="O41" s="84"/>
      <c r="P41" s="85"/>
      <c r="Q41" s="85"/>
      <c r="R41" s="85"/>
      <c r="S41" s="86"/>
      <c r="T41" s="86"/>
      <c r="U41" s="86"/>
    </row>
    <row r="42" spans="1:21" s="83" customFormat="1" ht="15.75" x14ac:dyDescent="0.5">
      <c r="A42" s="90"/>
      <c r="B42" s="90"/>
      <c r="C42" s="173"/>
      <c r="D42" s="174"/>
      <c r="I42" s="84"/>
      <c r="J42" s="84"/>
      <c r="K42" s="84"/>
      <c r="L42" s="84"/>
      <c r="M42" s="84"/>
      <c r="N42" s="84"/>
      <c r="O42" s="84"/>
      <c r="P42" s="85"/>
      <c r="Q42" s="85"/>
      <c r="R42" s="85"/>
      <c r="S42" s="86"/>
      <c r="T42" s="86"/>
      <c r="U42" s="86"/>
    </row>
    <row r="43" spans="1:21" s="83" customFormat="1" ht="15.75" x14ac:dyDescent="0.5">
      <c r="A43" s="91" t="s">
        <v>219</v>
      </c>
      <c r="B43" s="91"/>
      <c r="C43" s="92"/>
      <c r="I43" s="84"/>
      <c r="J43" s="84"/>
      <c r="K43" s="84"/>
      <c r="L43" s="84"/>
      <c r="M43" s="84"/>
      <c r="N43" s="84"/>
      <c r="O43" s="84"/>
      <c r="P43" s="85"/>
      <c r="Q43" s="85"/>
      <c r="R43" s="85"/>
      <c r="S43" s="86"/>
      <c r="T43" s="86"/>
      <c r="U43" s="86"/>
    </row>
    <row r="44" spans="1:21" s="83" customFormat="1" ht="15.75" x14ac:dyDescent="0.5">
      <c r="A44" s="90" t="s">
        <v>220</v>
      </c>
      <c r="B44" s="93" t="str">
        <f>IF('Data Inputs'!P46=1,"Ammonia","Urea")</f>
        <v>Ammonia</v>
      </c>
      <c r="C44" s="447" t="s">
        <v>221</v>
      </c>
      <c r="D44" s="447"/>
      <c r="E44" s="447"/>
      <c r="F44" s="93">
        <f>IF('Data Inputs'!P46=2, 60.06, 17.03)</f>
        <v>17.03</v>
      </c>
      <c r="G44" s="93" t="s">
        <v>222</v>
      </c>
      <c r="H44" s="93"/>
      <c r="I44" s="84"/>
      <c r="J44" s="84"/>
      <c r="K44" s="84"/>
      <c r="L44" s="84">
        <f>IF('Data Inputs'!P46=1,1,2)</f>
        <v>1</v>
      </c>
      <c r="M44" s="84">
        <f>IF('Data Inputs'!P47=1,71,56)</f>
        <v>56</v>
      </c>
      <c r="N44" s="84"/>
      <c r="O44" s="84"/>
      <c r="P44" s="85"/>
      <c r="Q44" s="85"/>
      <c r="R44" s="85"/>
      <c r="S44" s="86"/>
      <c r="T44" s="86"/>
      <c r="U44" s="86"/>
    </row>
    <row r="45" spans="1:21" s="83" customFormat="1" ht="18" x14ac:dyDescent="0.5">
      <c r="A45" s="90"/>
      <c r="B45" s="86"/>
      <c r="C45" s="343"/>
      <c r="D45" s="343"/>
      <c r="E45" s="343" t="s">
        <v>223</v>
      </c>
      <c r="F45" s="93">
        <f>'Data Inputs'!C42</f>
        <v>56</v>
      </c>
      <c r="G45" s="93" t="s">
        <v>224</v>
      </c>
      <c r="H45" s="93"/>
      <c r="I45" s="84"/>
      <c r="J45" s="84"/>
      <c r="K45" s="84"/>
      <c r="L45" s="84"/>
      <c r="M45" s="84"/>
      <c r="N45" s="84"/>
      <c r="O45" s="84"/>
      <c r="P45" s="85"/>
      <c r="Q45" s="85"/>
      <c r="R45" s="85"/>
      <c r="S45" s="86"/>
      <c r="T45" s="86"/>
      <c r="U45" s="86"/>
    </row>
    <row r="46" spans="1:21" s="83" customFormat="1" ht="15.75" x14ac:dyDescent="0.5">
      <c r="A46" s="90"/>
      <c r="B46" s="90"/>
      <c r="I46" s="84"/>
      <c r="J46" s="84"/>
      <c r="K46" s="84"/>
      <c r="L46" s="84"/>
      <c r="M46" s="84"/>
      <c r="N46" s="84"/>
      <c r="O46" s="84"/>
      <c r="P46" s="85"/>
      <c r="Q46" s="85"/>
      <c r="R46" s="85"/>
      <c r="S46" s="86"/>
      <c r="T46" s="86"/>
      <c r="U46" s="86"/>
    </row>
    <row r="47" spans="1:21" s="83" customFormat="1" ht="15.75" x14ac:dyDescent="0.5">
      <c r="A47" s="94" t="s">
        <v>152</v>
      </c>
      <c r="B47" s="94" t="s">
        <v>153</v>
      </c>
      <c r="C47" s="94" t="s">
        <v>154</v>
      </c>
      <c r="D47" s="455" t="s">
        <v>155</v>
      </c>
      <c r="E47" s="456"/>
      <c r="F47" s="456"/>
      <c r="G47" s="456"/>
      <c r="H47" s="457"/>
      <c r="I47" s="84"/>
      <c r="J47" s="84"/>
      <c r="K47" s="84"/>
      <c r="L47" s="84"/>
      <c r="M47" s="84"/>
      <c r="N47" s="84"/>
      <c r="O47" s="84"/>
      <c r="P47" s="85"/>
      <c r="Q47" s="85"/>
      <c r="R47" s="85"/>
      <c r="S47" s="86"/>
      <c r="T47" s="86"/>
      <c r="U47" s="86"/>
    </row>
    <row r="48" spans="1:21" s="83" customFormat="1" ht="18" x14ac:dyDescent="0.65">
      <c r="A48" s="82" t="s">
        <v>225</v>
      </c>
      <c r="B48" s="82" t="s">
        <v>226</v>
      </c>
      <c r="C48" s="167">
        <f>('Data Inputs'!C33*'SCR Design Parameters'!C6*('SCR Design Parameters'!C12/100)*'Data Inputs'!C35*'SCR Design Parameters'!F44)/(46.01)</f>
        <v>284.09082525537923</v>
      </c>
      <c r="D48" s="441" t="s">
        <v>170</v>
      </c>
      <c r="E48" s="442"/>
      <c r="F48" s="442"/>
      <c r="G48" s="442"/>
      <c r="H48" s="443"/>
      <c r="I48" s="84"/>
      <c r="J48" s="84"/>
      <c r="K48" s="84"/>
      <c r="L48" s="84"/>
      <c r="M48" s="84"/>
      <c r="N48" s="84"/>
      <c r="O48" s="84"/>
      <c r="P48" s="85"/>
      <c r="Q48" s="85"/>
      <c r="R48" s="85"/>
      <c r="S48" s="86"/>
      <c r="T48" s="86"/>
      <c r="U48" s="86"/>
    </row>
    <row r="49" spans="1:21" s="83" customFormat="1" ht="18" x14ac:dyDescent="0.65">
      <c r="A49" s="95" t="s">
        <v>227</v>
      </c>
      <c r="B49" s="96" t="s">
        <v>228</v>
      </c>
      <c r="C49" s="52">
        <f>C48/('Data Inputs'!C41/100)</f>
        <v>979.62353536337673</v>
      </c>
      <c r="D49" s="441" t="s">
        <v>170</v>
      </c>
      <c r="E49" s="442"/>
      <c r="F49" s="442"/>
      <c r="G49" s="442"/>
      <c r="H49" s="443"/>
      <c r="I49" s="84"/>
      <c r="J49" s="84"/>
      <c r="K49" s="84"/>
      <c r="L49" s="84"/>
      <c r="M49" s="84"/>
      <c r="N49" s="84"/>
      <c r="O49" s="84"/>
      <c r="P49" s="85"/>
      <c r="Q49" s="85"/>
      <c r="R49" s="85"/>
      <c r="S49" s="86"/>
      <c r="T49" s="86"/>
      <c r="U49" s="86"/>
    </row>
    <row r="50" spans="1:21" s="83" customFormat="1" ht="18" x14ac:dyDescent="0.65">
      <c r="A50" s="97"/>
      <c r="B50" s="98" t="s">
        <v>229</v>
      </c>
      <c r="C50" s="50">
        <f>(C49*7.4805/F45)</f>
        <v>130.8584617193882</v>
      </c>
      <c r="D50" s="441" t="s">
        <v>230</v>
      </c>
      <c r="E50" s="442"/>
      <c r="F50" s="442"/>
      <c r="G50" s="442"/>
      <c r="H50" s="443"/>
      <c r="I50" s="84"/>
      <c r="J50" s="84"/>
      <c r="K50" s="84"/>
      <c r="L50" s="84"/>
      <c r="M50" s="84"/>
      <c r="N50" s="84"/>
      <c r="O50" s="84"/>
      <c r="P50" s="85"/>
      <c r="Q50" s="85"/>
      <c r="R50" s="85"/>
      <c r="S50" s="86"/>
      <c r="T50" s="86"/>
      <c r="U50" s="86"/>
    </row>
    <row r="51" spans="1:21" s="83" customFormat="1" ht="18" x14ac:dyDescent="0.5">
      <c r="A51" s="165" t="s">
        <v>231</v>
      </c>
      <c r="B51" s="166" t="s">
        <v>232</v>
      </c>
      <c r="C51" s="53">
        <f>ROUNDUP(C50*'Data Inputs'!C43*24,-2)</f>
        <v>44000</v>
      </c>
      <c r="D51" s="444" t="str">
        <f>"gallons (storage needed to store a "&amp; 'Data Inputs'!C43 &amp;" day reagent supply rounded to the nearest 100 gallons)"</f>
        <v>gallons (storage needed to store a 14 day reagent supply rounded to the nearest 100 gallons)</v>
      </c>
      <c r="E51" s="445"/>
      <c r="F51" s="445"/>
      <c r="G51" s="445"/>
      <c r="H51" s="446"/>
      <c r="I51" s="84"/>
      <c r="J51" s="84"/>
      <c r="K51" s="84"/>
      <c r="L51" s="84"/>
      <c r="M51" s="84"/>
      <c r="N51" s="84"/>
      <c r="O51" s="84"/>
      <c r="P51" s="85"/>
      <c r="Q51" s="85"/>
      <c r="R51" s="85"/>
      <c r="S51" s="86"/>
      <c r="T51" s="86"/>
      <c r="U51" s="86"/>
    </row>
    <row r="52" spans="1:21" s="83" customFormat="1" ht="15.75" x14ac:dyDescent="0.5">
      <c r="A52" s="90"/>
      <c r="B52" s="90"/>
      <c r="C52" s="99"/>
      <c r="I52" s="84"/>
      <c r="J52" s="84"/>
      <c r="K52" s="84"/>
      <c r="L52" s="84"/>
      <c r="M52" s="84"/>
      <c r="N52" s="84"/>
      <c r="O52" s="84"/>
      <c r="P52" s="85"/>
      <c r="Q52" s="85"/>
      <c r="R52" s="85"/>
      <c r="S52" s="86"/>
      <c r="T52" s="86"/>
      <c r="U52" s="86"/>
    </row>
    <row r="53" spans="1:21" s="83" customFormat="1" ht="15.75" x14ac:dyDescent="0.5">
      <c r="A53" s="91" t="s">
        <v>233</v>
      </c>
      <c r="B53" s="91"/>
      <c r="I53" s="84"/>
      <c r="J53" s="84"/>
      <c r="K53" s="84"/>
      <c r="L53" s="84"/>
      <c r="M53" s="84"/>
      <c r="N53" s="84"/>
      <c r="O53" s="84"/>
      <c r="P53" s="85"/>
      <c r="Q53" s="85"/>
      <c r="R53" s="85"/>
      <c r="S53" s="86"/>
      <c r="T53" s="86"/>
      <c r="U53" s="86"/>
    </row>
    <row r="54" spans="1:21" s="83" customFormat="1" ht="15.75" x14ac:dyDescent="0.5">
      <c r="A54" s="91"/>
      <c r="B54" s="91"/>
      <c r="I54" s="84"/>
      <c r="J54" s="84"/>
      <c r="K54" s="84"/>
      <c r="L54" s="84"/>
      <c r="M54" s="84"/>
      <c r="N54" s="84"/>
      <c r="O54" s="84"/>
      <c r="P54" s="85"/>
      <c r="Q54" s="85"/>
      <c r="R54" s="85"/>
      <c r="S54" s="86"/>
      <c r="T54" s="86"/>
      <c r="U54" s="86"/>
    </row>
    <row r="55" spans="1:21" s="83" customFormat="1" ht="15.75" x14ac:dyDescent="0.5">
      <c r="A55" s="94" t="s">
        <v>152</v>
      </c>
      <c r="B55" s="94" t="s">
        <v>153</v>
      </c>
      <c r="C55" s="342" t="s">
        <v>154</v>
      </c>
      <c r="D55" s="100"/>
      <c r="I55" s="84"/>
      <c r="J55" s="84"/>
      <c r="K55" s="84"/>
      <c r="L55" s="84"/>
      <c r="M55" s="84"/>
      <c r="N55" s="84"/>
      <c r="O55" s="84"/>
      <c r="P55" s="85"/>
      <c r="Q55" s="85"/>
      <c r="R55" s="85"/>
      <c r="S55" s="86"/>
      <c r="T55" s="86"/>
      <c r="U55" s="86"/>
    </row>
    <row r="56" spans="1:21" s="83" customFormat="1" ht="18" customHeight="1" x14ac:dyDescent="0.5">
      <c r="A56" s="95" t="s">
        <v>234</v>
      </c>
      <c r="B56" s="95" t="s">
        <v>235</v>
      </c>
      <c r="C56" s="308">
        <f>ROUND((('Data Inputs'!C54/100)*((1+'Data Inputs'!C54/100)^'Data Inputs'!C39))/(((1+'Data Inputs'!C54/100)^'Data Inputs'!C39)-1),4)</f>
        <v>8.0600000000000005E-2</v>
      </c>
      <c r="I56" s="84"/>
      <c r="J56" s="84"/>
      <c r="K56" s="84"/>
      <c r="L56" s="84"/>
      <c r="M56" s="84"/>
      <c r="N56" s="84"/>
      <c r="O56" s="84"/>
      <c r="P56" s="85"/>
      <c r="Q56" s="85"/>
      <c r="R56" s="85"/>
      <c r="S56" s="86"/>
      <c r="T56" s="86"/>
      <c r="U56" s="86"/>
    </row>
    <row r="57" spans="1:21" s="83" customFormat="1" ht="15.75" x14ac:dyDescent="0.5">
      <c r="A57" s="97"/>
      <c r="B57" s="97" t="s">
        <v>236</v>
      </c>
      <c r="C57" s="125"/>
      <c r="I57" s="84"/>
      <c r="J57" s="84"/>
      <c r="K57" s="84"/>
      <c r="L57" s="84"/>
      <c r="M57" s="84"/>
      <c r="N57" s="84"/>
      <c r="O57" s="84"/>
      <c r="P57" s="85"/>
      <c r="Q57" s="85"/>
      <c r="R57" s="85"/>
      <c r="S57" s="86"/>
      <c r="T57" s="86"/>
      <c r="U57" s="86"/>
    </row>
    <row r="58" spans="1:21" s="83" customFormat="1" ht="15.75" x14ac:dyDescent="0.5">
      <c r="A58" s="90"/>
      <c r="B58" s="90"/>
      <c r="I58" s="84"/>
      <c r="J58" s="84"/>
      <c r="K58" s="84"/>
      <c r="L58" s="84"/>
      <c r="M58" s="84"/>
      <c r="N58" s="84"/>
      <c r="O58" s="84"/>
      <c r="P58" s="85"/>
      <c r="Q58" s="85"/>
      <c r="R58" s="85"/>
      <c r="S58" s="86"/>
      <c r="T58" s="86"/>
      <c r="U58" s="86"/>
    </row>
    <row r="59" spans="1:21" s="83" customFormat="1" ht="15.75" x14ac:dyDescent="0.5">
      <c r="A59" s="80" t="s">
        <v>237</v>
      </c>
      <c r="B59" s="80" t="s">
        <v>153</v>
      </c>
      <c r="C59" s="80" t="s">
        <v>154</v>
      </c>
      <c r="D59" s="80" t="s">
        <v>155</v>
      </c>
      <c r="I59" s="84"/>
      <c r="J59" s="84"/>
      <c r="K59" s="84"/>
      <c r="L59" s="84"/>
      <c r="M59" s="84"/>
      <c r="N59" s="84"/>
      <c r="O59" s="84"/>
      <c r="P59" s="85"/>
      <c r="Q59" s="85"/>
      <c r="R59" s="85"/>
      <c r="S59" s="86"/>
      <c r="T59" s="86"/>
      <c r="U59" s="86"/>
    </row>
    <row r="60" spans="1:21" s="83" customFormat="1" ht="15.75" x14ac:dyDescent="0.5">
      <c r="A60" s="101" t="s">
        <v>238</v>
      </c>
      <c r="B60" s="101"/>
      <c r="C60" s="54"/>
      <c r="D60" s="119"/>
      <c r="I60" s="84"/>
      <c r="J60" s="84"/>
      <c r="K60" s="84"/>
      <c r="L60" s="84"/>
      <c r="M60" s="84"/>
      <c r="N60" s="84"/>
      <c r="O60" s="84"/>
      <c r="P60" s="85"/>
      <c r="Q60" s="85"/>
      <c r="R60" s="85"/>
      <c r="S60" s="86"/>
      <c r="T60" s="86"/>
      <c r="U60" s="86"/>
    </row>
    <row r="61" spans="1:21" s="83" customFormat="1" ht="18.75" customHeight="1" x14ac:dyDescent="0.5">
      <c r="A61" s="170" t="s">
        <v>239</v>
      </c>
      <c r="B61" s="171" t="s">
        <v>240</v>
      </c>
      <c r="C61" s="55">
        <f>('Data Inputs'!C10*1000*0.0056*('SCR Design Parameters'!C19*'SCR Design Parameters'!C9)^0.43)*(IF('Data Inputs'!P8=3, 0.1, 1))</f>
        <v>3191.0501132520517</v>
      </c>
      <c r="D61" s="118" t="s">
        <v>241</v>
      </c>
      <c r="I61" s="84"/>
      <c r="J61" s="84"/>
      <c r="K61" s="84"/>
      <c r="L61" s="84"/>
      <c r="M61" s="84"/>
      <c r="N61" s="84"/>
      <c r="O61" s="84"/>
      <c r="P61" s="85"/>
      <c r="Q61" s="85"/>
      <c r="R61" s="85"/>
      <c r="S61" s="86"/>
      <c r="T61" s="86"/>
      <c r="U61" s="86"/>
    </row>
    <row r="62" spans="1:21" s="83" customFormat="1" ht="15.75" x14ac:dyDescent="0.5">
      <c r="A62" s="97"/>
      <c r="B62" s="97" t="str">
        <f>IF('Data Inputs'!P8=2, "where A = Bmw for utility boilers", "where A = (0.1 x QB) for industrial boilers.")</f>
        <v>where A = Bmw for utility boilers</v>
      </c>
      <c r="C62" s="116"/>
      <c r="D62" s="117"/>
      <c r="I62" s="84"/>
      <c r="J62" s="84"/>
      <c r="K62" s="84"/>
      <c r="L62" s="84"/>
      <c r="M62" s="84"/>
      <c r="N62" s="84"/>
      <c r="O62" s="84"/>
      <c r="P62" s="85"/>
      <c r="Q62" s="85"/>
      <c r="R62" s="85"/>
      <c r="S62" s="86"/>
      <c r="T62" s="86"/>
      <c r="U62" s="86"/>
    </row>
  </sheetData>
  <mergeCells count="12">
    <mergeCell ref="A1:H1"/>
    <mergeCell ref="A3:H3"/>
    <mergeCell ref="E19:H19"/>
    <mergeCell ref="D47:H47"/>
    <mergeCell ref="D48:H48"/>
    <mergeCell ref="D49:H49"/>
    <mergeCell ref="D50:H50"/>
    <mergeCell ref="D51:H51"/>
    <mergeCell ref="C44:E44"/>
    <mergeCell ref="E20:H20"/>
    <mergeCell ref="E21:H22"/>
    <mergeCell ref="A25:D25"/>
  </mergeCells>
  <pageMargins left="0.7" right="0.7" top="0.75" bottom="0.75" header="0.3" footer="0.3"/>
  <pageSetup scale="75" orientation="landscape" r:id="rId1"/>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Y105"/>
  <sheetViews>
    <sheetView showGridLines="0" topLeftCell="A74" zoomScaleNormal="100" zoomScaleSheetLayoutView="100" workbookViewId="0">
      <selection activeCell="C103" sqref="C103"/>
    </sheetView>
  </sheetViews>
  <sheetFormatPr defaultRowHeight="14.25" x14ac:dyDescent="0.45"/>
  <cols>
    <col min="1" max="1" width="41.86328125" customWidth="1"/>
    <col min="2" max="2" width="55.1328125" customWidth="1"/>
    <col min="3" max="3" width="19.1328125" customWidth="1"/>
    <col min="4" max="4" width="25.1328125" customWidth="1"/>
    <col min="5" max="5" width="16.86328125" customWidth="1"/>
    <col min="6" max="6" width="8" style="36" customWidth="1"/>
    <col min="7" max="7" width="30.3984375" style="36" hidden="1" customWidth="1"/>
    <col min="8" max="8" width="22.3984375" style="36" hidden="1" customWidth="1"/>
    <col min="9" max="9" width="9.1328125" style="36" hidden="1" customWidth="1"/>
    <col min="10" max="10" width="19.86328125" style="36" hidden="1" customWidth="1"/>
    <col min="11" max="15" width="9.1328125" style="36" customWidth="1"/>
    <col min="16" max="24" width="9.1328125" style="36"/>
    <col min="25" max="25" width="9.1328125" style="28"/>
  </cols>
  <sheetData>
    <row r="1" spans="1:25" s="10" customFormat="1" ht="23.25" x14ac:dyDescent="0.35">
      <c r="A1" s="419" t="s">
        <v>242</v>
      </c>
      <c r="B1" s="419"/>
      <c r="C1" s="419"/>
      <c r="D1" s="419"/>
      <c r="E1" s="419"/>
      <c r="F1" s="46"/>
      <c r="G1" s="46"/>
      <c r="H1" s="46"/>
      <c r="I1" s="46"/>
      <c r="J1" s="46"/>
      <c r="K1" s="46"/>
      <c r="L1" s="46"/>
      <c r="M1" s="46"/>
      <c r="N1" s="46"/>
      <c r="O1" s="46"/>
      <c r="P1" s="46"/>
      <c r="Q1" s="46"/>
      <c r="R1" s="46"/>
      <c r="S1" s="46"/>
      <c r="T1" s="46"/>
      <c r="U1" s="46"/>
      <c r="V1" s="46"/>
      <c r="W1" s="46"/>
      <c r="X1" s="46"/>
      <c r="Y1" s="43"/>
    </row>
    <row r="3" spans="1:25" ht="18.75" x14ac:dyDescent="0.3">
      <c r="A3" s="465" t="s">
        <v>243</v>
      </c>
      <c r="B3" s="465"/>
      <c r="C3" s="465"/>
      <c r="D3" s="465"/>
      <c r="E3" s="465"/>
      <c r="G3" s="160">
        <f>IF('Data Inputs'!C24&lt;500, 1,'SCR Design Parameters'!C21)</f>
        <v>1</v>
      </c>
      <c r="H3" s="258" t="s">
        <v>244</v>
      </c>
    </row>
    <row r="4" spans="1:25" s="83" customFormat="1" ht="15.75" hidden="1" x14ac:dyDescent="0.25">
      <c r="B4" s="168"/>
      <c r="C4" s="168"/>
      <c r="D4" s="233"/>
      <c r="F4" s="234"/>
      <c r="G4" s="234"/>
      <c r="H4" s="234"/>
      <c r="I4" s="234"/>
      <c r="J4" s="234"/>
      <c r="K4" s="234"/>
      <c r="L4" s="234"/>
      <c r="M4" s="234"/>
      <c r="N4" s="234"/>
      <c r="O4" s="234"/>
      <c r="P4" s="234"/>
      <c r="Q4" s="234"/>
      <c r="R4" s="234"/>
      <c r="S4" s="234"/>
      <c r="T4" s="234"/>
      <c r="U4" s="234"/>
      <c r="V4" s="234"/>
      <c r="W4" s="234"/>
      <c r="X4" s="234"/>
      <c r="Y4" s="235"/>
    </row>
    <row r="5" spans="1:25" s="83" customFormat="1" ht="15.75" hidden="1" x14ac:dyDescent="0.25">
      <c r="A5" s="460" t="s">
        <v>245</v>
      </c>
      <c r="B5" s="461"/>
      <c r="C5" s="461"/>
      <c r="D5" s="461"/>
      <c r="E5" s="462"/>
      <c r="F5" s="234"/>
      <c r="G5" s="234"/>
      <c r="H5" s="234"/>
      <c r="I5" s="234"/>
      <c r="J5" s="234"/>
      <c r="K5" s="234"/>
      <c r="L5" s="234"/>
      <c r="M5" s="234"/>
      <c r="N5" s="234"/>
      <c r="O5" s="234"/>
      <c r="P5" s="234"/>
      <c r="Q5" s="234"/>
      <c r="R5" s="234"/>
      <c r="S5" s="234"/>
      <c r="T5" s="234"/>
      <c r="U5" s="234"/>
      <c r="V5" s="234"/>
      <c r="W5" s="234"/>
      <c r="X5" s="234"/>
      <c r="Y5" s="235"/>
    </row>
    <row r="6" spans="1:25" s="83" customFormat="1" ht="15.75" hidden="1" x14ac:dyDescent="0.25">
      <c r="A6" s="464" t="s">
        <v>246</v>
      </c>
      <c r="B6" s="464"/>
      <c r="C6" s="464"/>
      <c r="D6" s="464"/>
      <c r="E6" s="464"/>
      <c r="F6" s="234"/>
      <c r="G6" s="236" t="s">
        <v>247</v>
      </c>
      <c r="H6" s="236" t="s">
        <v>36</v>
      </c>
      <c r="I6" s="236"/>
      <c r="J6" s="234"/>
      <c r="K6" s="234"/>
      <c r="L6" s="234"/>
      <c r="M6" s="234"/>
      <c r="N6" s="234"/>
      <c r="O6" s="234"/>
      <c r="P6" s="234"/>
      <c r="Q6" s="234"/>
      <c r="R6" s="234"/>
      <c r="S6" s="234"/>
      <c r="T6" s="234"/>
      <c r="U6" s="234"/>
      <c r="V6" s="234"/>
      <c r="W6" s="234"/>
      <c r="X6" s="234"/>
      <c r="Y6" s="235"/>
    </row>
    <row r="7" spans="1:25" s="83" customFormat="1" ht="19.5" hidden="1" x14ac:dyDescent="0.35">
      <c r="A7" s="459" t="s">
        <v>248</v>
      </c>
      <c r="B7" s="459"/>
      <c r="C7" s="459"/>
      <c r="D7" s="459"/>
      <c r="E7" s="459"/>
      <c r="F7" s="234"/>
      <c r="G7" s="237">
        <f>IF(AND('Data Inputs'!S8=2,'Data Inputs'!P8=2,'Data Inputs'!P17&gt;2,'Data Inputs'!C10&lt;500.1),(86380*((200/'Data Inputs'!C10)^0.35)*'Data Inputs'!C10*G3*0.8), 0)</f>
        <v>0</v>
      </c>
      <c r="H7" s="237">
        <f>IF(AND('Data Inputs'!S8=3,'Data Inputs'!P8=2,'Data Inputs'!P17&gt;2,'Data Inputs'!C10&lt;500.1),(86380*((200/'Data Inputs'!C10)^0.35)*'Data Inputs'!C10*G3*'Data Inputs'!D7), 0)</f>
        <v>0</v>
      </c>
      <c r="I7" s="237"/>
      <c r="J7" s="234"/>
      <c r="K7" s="234"/>
      <c r="L7" s="234"/>
      <c r="M7" s="234"/>
      <c r="N7" s="234"/>
      <c r="O7" s="234"/>
      <c r="P7" s="234"/>
      <c r="Q7" s="234"/>
      <c r="R7" s="234"/>
      <c r="S7" s="234"/>
      <c r="T7" s="234"/>
      <c r="U7" s="234"/>
      <c r="V7" s="234"/>
      <c r="W7" s="234"/>
      <c r="X7" s="234"/>
      <c r="Y7" s="235"/>
    </row>
    <row r="8" spans="1:25" s="239" customFormat="1" ht="15.75" hidden="1" x14ac:dyDescent="0.25">
      <c r="A8" s="464" t="s">
        <v>249</v>
      </c>
      <c r="B8" s="464"/>
      <c r="C8" s="464"/>
      <c r="D8" s="464"/>
      <c r="E8" s="464"/>
      <c r="F8" s="238"/>
      <c r="G8" s="237"/>
      <c r="H8" s="237"/>
      <c r="I8" s="237"/>
      <c r="J8" s="236"/>
      <c r="K8" s="236"/>
      <c r="L8" s="236"/>
      <c r="M8" s="236"/>
      <c r="N8" s="236"/>
      <c r="O8" s="236"/>
      <c r="P8" s="236"/>
      <c r="Q8" s="236"/>
      <c r="R8" s="236"/>
      <c r="S8" s="236"/>
      <c r="T8" s="236"/>
      <c r="U8" s="236"/>
      <c r="V8" s="236"/>
      <c r="W8" s="236"/>
      <c r="X8" s="236"/>
      <c r="Y8" s="238"/>
    </row>
    <row r="9" spans="1:25" s="239" customFormat="1" ht="18.75" hidden="1" x14ac:dyDescent="0.35">
      <c r="A9" s="459" t="s">
        <v>250</v>
      </c>
      <c r="B9" s="459"/>
      <c r="C9" s="459"/>
      <c r="D9" s="459"/>
      <c r="E9" s="459"/>
      <c r="F9" s="238"/>
      <c r="G9" s="240">
        <f>IF(AND('Data Inputs'!S8=2,'Data Inputs'!P8=2, 'Data Inputs'!P17&gt;2, 'Data Inputs'!C10&gt;500), (62680*'Data Inputs'!C10*G3*0.8), 0)</f>
        <v>0</v>
      </c>
      <c r="H9" s="240">
        <f>IF(AND('Data Inputs'!S8=3,'Data Inputs'!P8=2, 'Data Inputs'!P17&gt;2, 'Data Inputs'!C10&gt;500), (62680*'Data Inputs'!C10*G3*'Data Inputs'!D7), 0)</f>
        <v>0</v>
      </c>
      <c r="I9" s="240"/>
      <c r="J9" s="238"/>
      <c r="K9" s="238"/>
      <c r="L9" s="238"/>
      <c r="M9" s="238"/>
      <c r="N9" s="238"/>
      <c r="O9" s="238"/>
      <c r="P9" s="238"/>
      <c r="Q9" s="236"/>
      <c r="R9" s="236"/>
      <c r="S9" s="236"/>
      <c r="T9" s="236"/>
      <c r="U9" s="236"/>
      <c r="V9" s="236"/>
      <c r="W9" s="236"/>
      <c r="X9" s="236"/>
      <c r="Y9" s="238"/>
    </row>
    <row r="10" spans="1:25" s="239" customFormat="1" ht="15.75" hidden="1" x14ac:dyDescent="0.25">
      <c r="A10" s="241" t="s">
        <v>251</v>
      </c>
      <c r="B10" s="241"/>
      <c r="C10" s="241"/>
      <c r="D10" s="241"/>
      <c r="E10" s="241"/>
      <c r="F10" s="236"/>
      <c r="G10" s="240"/>
      <c r="H10" s="240"/>
      <c r="I10" s="240"/>
      <c r="J10" s="238"/>
      <c r="K10" s="238"/>
      <c r="L10" s="238"/>
      <c r="M10" s="238"/>
      <c r="N10" s="238"/>
      <c r="O10" s="238"/>
      <c r="P10" s="238"/>
      <c r="Q10" s="236"/>
      <c r="R10" s="236"/>
      <c r="S10" s="236"/>
      <c r="T10" s="236"/>
      <c r="U10" s="236"/>
      <c r="V10" s="236"/>
      <c r="W10" s="236"/>
      <c r="X10" s="236"/>
      <c r="Y10" s="238"/>
    </row>
    <row r="11" spans="1:25" s="239" customFormat="1" ht="19.5" hidden="1" x14ac:dyDescent="0.35">
      <c r="A11" s="459" t="s">
        <v>252</v>
      </c>
      <c r="B11" s="459"/>
      <c r="C11" s="459"/>
      <c r="D11" s="459"/>
      <c r="E11" s="459"/>
      <c r="F11" s="236"/>
      <c r="G11" s="240">
        <f>IF(AND('Data Inputs'!S8=2,'Data Inputs'!P8=3, 'Data Inputs'!P17=3, 'Data Inputs'!C10&lt;5500.1),(7850*((2200/'Data Inputs'!C10)^0.35)*'Data Inputs'!C10*G3*0.8), 0)</f>
        <v>0</v>
      </c>
      <c r="H11" s="240">
        <f>IF(AND('Data Inputs'!S8=3,'Data Inputs'!P8=3, 'Data Inputs'!P17=3, 'Data Inputs'!C10&lt;5500.1),(7850*((2200/'Data Inputs'!C10)^0.35)*'Data Inputs'!C10*G3*'Data Inputs'!D7), 0)</f>
        <v>0</v>
      </c>
      <c r="I11" s="240"/>
      <c r="J11" s="238"/>
      <c r="K11" s="238"/>
      <c r="L11" s="238"/>
      <c r="M11" s="238"/>
      <c r="N11" s="238"/>
      <c r="O11" s="238"/>
      <c r="P11" s="238"/>
      <c r="Q11" s="236"/>
      <c r="R11" s="236"/>
      <c r="S11" s="236"/>
      <c r="T11" s="236"/>
      <c r="U11" s="236"/>
      <c r="V11" s="236"/>
      <c r="W11" s="236"/>
      <c r="X11" s="236"/>
      <c r="Y11" s="238"/>
    </row>
    <row r="12" spans="1:25" s="239" customFormat="1" ht="15.75" hidden="1" x14ac:dyDescent="0.25">
      <c r="A12" s="241" t="s">
        <v>253</v>
      </c>
      <c r="B12" s="241"/>
      <c r="C12" s="241"/>
      <c r="D12" s="241"/>
      <c r="E12" s="241"/>
      <c r="F12" s="236"/>
      <c r="G12" s="240"/>
      <c r="H12" s="240"/>
      <c r="I12" s="240"/>
      <c r="J12" s="238" t="s">
        <v>30</v>
      </c>
      <c r="K12" s="238"/>
      <c r="L12" s="238"/>
      <c r="M12" s="238"/>
      <c r="N12" s="238"/>
      <c r="O12" s="238"/>
      <c r="P12" s="238"/>
      <c r="Q12" s="236"/>
      <c r="R12" s="236"/>
      <c r="S12" s="236"/>
      <c r="T12" s="236"/>
      <c r="U12" s="236"/>
      <c r="V12" s="236"/>
      <c r="W12" s="236"/>
      <c r="X12" s="236"/>
      <c r="Y12" s="238"/>
    </row>
    <row r="13" spans="1:25" s="239" customFormat="1" ht="19.5" hidden="1" x14ac:dyDescent="0.35">
      <c r="A13" s="459" t="s">
        <v>254</v>
      </c>
      <c r="B13" s="459"/>
      <c r="C13" s="459"/>
      <c r="D13" s="459"/>
      <c r="E13" s="459"/>
      <c r="F13" s="236"/>
      <c r="G13" s="240">
        <f>IF(AND('Data Inputs'!S8=2,'Data Inputs'!P8=3, 'Data Inputs'!P17=4, 'Data Inputs'!C10&lt;4100.1),(10530*((1640/'Data Inputs'!C10)^0.35)*'Data Inputs'!C10*G3*0.8), 0)</f>
        <v>0</v>
      </c>
      <c r="H13" s="240">
        <f>IF(AND('Data Inputs'!S8=3,'Data Inputs'!P8=3, 'Data Inputs'!P17=4, 'Data Inputs'!C10&lt;4100.1),(10530*((1640/'Data Inputs'!C10)^0.35)*'Data Inputs'!C10*G3*'Data Inputs'!D7), 0)</f>
        <v>0</v>
      </c>
      <c r="I13" s="240"/>
      <c r="J13" s="238"/>
      <c r="K13" s="238"/>
      <c r="L13" s="238"/>
      <c r="M13" s="238"/>
      <c r="N13" s="238"/>
      <c r="O13" s="238"/>
      <c r="P13" s="238"/>
      <c r="Q13" s="236"/>
      <c r="R13" s="236"/>
      <c r="S13" s="236"/>
      <c r="T13" s="236"/>
      <c r="U13" s="236"/>
      <c r="V13" s="236"/>
      <c r="W13" s="236"/>
      <c r="X13" s="236"/>
      <c r="Y13" s="238"/>
    </row>
    <row r="14" spans="1:25" s="239" customFormat="1" ht="15.75" hidden="1" x14ac:dyDescent="0.25">
      <c r="A14" s="464" t="s">
        <v>255</v>
      </c>
      <c r="B14" s="464"/>
      <c r="C14" s="464"/>
      <c r="D14" s="464"/>
      <c r="E14" s="464"/>
      <c r="F14" s="236"/>
      <c r="G14" s="240"/>
      <c r="H14" s="240"/>
      <c r="I14" s="240"/>
      <c r="J14" s="238"/>
      <c r="K14" s="238"/>
      <c r="L14" s="238"/>
      <c r="M14" s="238"/>
      <c r="N14" s="238"/>
      <c r="O14" s="238"/>
      <c r="P14" s="238"/>
      <c r="Q14" s="236"/>
      <c r="R14" s="236"/>
      <c r="S14" s="236"/>
      <c r="T14" s="236"/>
      <c r="U14" s="236"/>
      <c r="V14" s="236"/>
      <c r="W14" s="236"/>
      <c r="X14" s="236"/>
      <c r="Y14" s="238"/>
    </row>
    <row r="15" spans="1:25" s="239" customFormat="1" ht="18.75" hidden="1" x14ac:dyDescent="0.35">
      <c r="A15" s="459" t="s">
        <v>256</v>
      </c>
      <c r="B15" s="459"/>
      <c r="C15" s="459"/>
      <c r="D15" s="459"/>
      <c r="E15" s="459"/>
      <c r="F15" s="236"/>
      <c r="G15" s="240">
        <f>IF(AND('Data Inputs'!S8=2,'Data Inputs'!P8=3, 'Data Inputs'!P17=3, 'Data Inputs'!C10&gt;5500),(5700*'Data Inputs'!C10*G3*0.8), 0)</f>
        <v>0</v>
      </c>
      <c r="H15" s="240">
        <f>IF(AND('Data Inputs'!S8=3,'Data Inputs'!P8=3, 'Data Inputs'!P17=3, 'Data Inputs'!C10&gt;5500),(5700*'Data Inputs'!C10*G3*'Data Inputs'!D7), 0)</f>
        <v>0</v>
      </c>
      <c r="I15" s="240"/>
      <c r="J15" s="238"/>
      <c r="K15" s="238"/>
      <c r="L15" s="238"/>
      <c r="M15" s="238"/>
      <c r="N15" s="238"/>
      <c r="O15" s="238"/>
      <c r="P15" s="238"/>
      <c r="Q15" s="236"/>
      <c r="R15" s="236"/>
      <c r="S15" s="236"/>
      <c r="T15" s="236"/>
      <c r="U15" s="236"/>
      <c r="V15" s="236"/>
      <c r="W15" s="236"/>
      <c r="X15" s="236"/>
      <c r="Y15" s="238"/>
    </row>
    <row r="16" spans="1:25" s="239" customFormat="1" ht="15.75" hidden="1" x14ac:dyDescent="0.25">
      <c r="A16" s="464" t="s">
        <v>257</v>
      </c>
      <c r="B16" s="464"/>
      <c r="C16" s="464"/>
      <c r="D16" s="464"/>
      <c r="E16" s="464"/>
      <c r="F16" s="236"/>
      <c r="G16" s="240"/>
      <c r="H16" s="240"/>
      <c r="I16" s="240"/>
      <c r="J16" s="238"/>
      <c r="K16" s="238"/>
      <c r="L16" s="238"/>
      <c r="M16" s="238"/>
      <c r="N16" s="238"/>
      <c r="O16" s="238"/>
      <c r="P16" s="238"/>
      <c r="Q16" s="236"/>
      <c r="R16" s="236"/>
      <c r="S16" s="236"/>
      <c r="T16" s="236"/>
      <c r="U16" s="236"/>
      <c r="V16" s="236"/>
      <c r="W16" s="236"/>
      <c r="X16" s="236"/>
      <c r="Y16" s="238"/>
    </row>
    <row r="17" spans="1:25" s="239" customFormat="1" ht="18.75" hidden="1" x14ac:dyDescent="0.35">
      <c r="A17" s="459" t="s">
        <v>258</v>
      </c>
      <c r="B17" s="459"/>
      <c r="C17" s="459"/>
      <c r="D17" s="459"/>
      <c r="E17" s="459"/>
      <c r="F17" s="236"/>
      <c r="G17" s="240">
        <f>IF(AND('Data Inputs'!S8=2,'Data Inputs'!P8=3, 'Data Inputs'!P17=4, 'Data Inputs'!C10&gt;4100), (7640*'Data Inputs'!C10*G3*0.8), 0)</f>
        <v>0</v>
      </c>
      <c r="H17" s="240">
        <f>IF(AND('Data Inputs'!S8=3,'Data Inputs'!P8=3, 'Data Inputs'!P17=4, 'Data Inputs'!C10&gt;4100), (7640*'Data Inputs'!C10*G3*'Data Inputs'!D7), 0)</f>
        <v>0</v>
      </c>
      <c r="I17" s="240"/>
      <c r="J17" s="238"/>
      <c r="K17" s="238"/>
      <c r="L17" s="238"/>
      <c r="M17" s="238"/>
      <c r="N17" s="238"/>
      <c r="O17" s="238"/>
      <c r="P17" s="238"/>
      <c r="Q17" s="236"/>
      <c r="R17" s="236"/>
      <c r="S17" s="236"/>
      <c r="T17" s="236"/>
      <c r="U17" s="236"/>
      <c r="V17" s="236"/>
      <c r="W17" s="236"/>
      <c r="X17" s="236"/>
      <c r="Y17" s="238"/>
    </row>
    <row r="18" spans="1:25" s="83" customFormat="1" ht="15.75" hidden="1" x14ac:dyDescent="0.25">
      <c r="B18" s="92"/>
      <c r="C18" s="92"/>
      <c r="F18" s="234"/>
      <c r="G18" s="242"/>
      <c r="H18" s="242"/>
      <c r="I18" s="242"/>
      <c r="J18" s="235"/>
      <c r="K18" s="235"/>
      <c r="L18" s="235"/>
      <c r="M18" s="235"/>
      <c r="N18" s="235"/>
      <c r="O18" s="234"/>
      <c r="P18" s="234"/>
      <c r="Q18" s="234"/>
      <c r="R18" s="234"/>
      <c r="S18" s="234"/>
      <c r="T18" s="234"/>
      <c r="U18" s="234"/>
      <c r="V18" s="234"/>
      <c r="W18" s="234"/>
      <c r="X18" s="234"/>
      <c r="Y18" s="235"/>
    </row>
    <row r="19" spans="1:25" s="83" customFormat="1" ht="15.75" hidden="1" x14ac:dyDescent="0.25">
      <c r="A19" s="243" t="s">
        <v>259</v>
      </c>
      <c r="B19" s="115">
        <f>(G19+H19)*('Data Inputs'!C53/'Data Inputs'!F53)</f>
        <v>0</v>
      </c>
      <c r="C19" s="115"/>
      <c r="D19" s="244" t="str">
        <f>"in "&amp;'Data Inputs'!$C$52 &amp; " dollars"</f>
        <v>in 2019 dollars</v>
      </c>
      <c r="F19" s="234"/>
      <c r="G19" s="245">
        <f>SUM(G7:G17)</f>
        <v>0</v>
      </c>
      <c r="H19" s="245">
        <f>SUM(H7:H17)</f>
        <v>0</v>
      </c>
      <c r="I19" s="242"/>
      <c r="J19" s="235"/>
      <c r="K19" s="235"/>
      <c r="L19" s="235"/>
      <c r="M19" s="235"/>
      <c r="N19" s="235"/>
      <c r="O19" s="234"/>
      <c r="P19" s="234"/>
      <c r="Q19" s="234"/>
      <c r="R19" s="234"/>
      <c r="S19" s="234"/>
      <c r="T19" s="234"/>
      <c r="U19" s="234"/>
      <c r="V19" s="234"/>
      <c r="W19" s="234"/>
      <c r="X19" s="234"/>
      <c r="Y19" s="235"/>
    </row>
    <row r="20" spans="1:25" s="83" customFormat="1" ht="15.75" x14ac:dyDescent="0.25">
      <c r="F20" s="234"/>
      <c r="G20" s="235"/>
      <c r="H20" s="235"/>
      <c r="I20" s="235"/>
      <c r="J20" s="235"/>
      <c r="K20" s="235"/>
      <c r="L20" s="235"/>
      <c r="M20" s="235"/>
      <c r="N20" s="235"/>
      <c r="O20" s="234"/>
      <c r="P20" s="234"/>
      <c r="Q20" s="234"/>
      <c r="R20" s="234"/>
      <c r="S20" s="234"/>
      <c r="T20" s="234"/>
      <c r="U20" s="234"/>
      <c r="V20" s="234"/>
      <c r="W20" s="234"/>
      <c r="X20" s="234"/>
      <c r="Y20" s="235"/>
    </row>
    <row r="21" spans="1:25" s="83" customFormat="1" ht="15.75" x14ac:dyDescent="0.25">
      <c r="A21" s="460" t="s">
        <v>260</v>
      </c>
      <c r="B21" s="461"/>
      <c r="C21" s="461"/>
      <c r="D21" s="461"/>
      <c r="E21" s="462"/>
      <c r="F21" s="234"/>
      <c r="G21" s="235"/>
      <c r="H21" s="235"/>
      <c r="I21" s="235"/>
      <c r="J21" s="235"/>
      <c r="K21" s="235"/>
      <c r="L21" s="235"/>
      <c r="M21" s="235"/>
      <c r="N21" s="235"/>
      <c r="O21" s="234"/>
      <c r="P21" s="234"/>
      <c r="Q21" s="234"/>
      <c r="R21" s="234"/>
      <c r="S21" s="234"/>
      <c r="T21" s="234"/>
      <c r="U21" s="234"/>
      <c r="V21" s="234"/>
      <c r="W21" s="234"/>
      <c r="X21" s="234"/>
      <c r="Y21" s="235"/>
    </row>
    <row r="22" spans="1:25" s="239" customFormat="1" ht="15.75" x14ac:dyDescent="0.25">
      <c r="A22" s="464" t="s">
        <v>261</v>
      </c>
      <c r="B22" s="464"/>
      <c r="C22" s="464"/>
      <c r="D22" s="464"/>
      <c r="E22" s="464"/>
      <c r="F22" s="236"/>
      <c r="G22" s="238"/>
      <c r="H22" s="238"/>
      <c r="I22" s="238"/>
      <c r="J22" s="238"/>
      <c r="K22" s="238"/>
      <c r="L22" s="238"/>
      <c r="M22" s="238"/>
      <c r="N22" s="238"/>
      <c r="O22" s="236"/>
      <c r="P22" s="236"/>
      <c r="Q22" s="236"/>
      <c r="R22" s="236"/>
      <c r="S22" s="236"/>
      <c r="T22" s="236"/>
      <c r="U22" s="236"/>
      <c r="V22" s="236"/>
      <c r="W22" s="236"/>
      <c r="X22" s="236"/>
      <c r="Y22" s="238"/>
    </row>
    <row r="23" spans="1:25" s="239" customFormat="1" ht="18.75" x14ac:dyDescent="0.35">
      <c r="A23" s="459" t="s">
        <v>262</v>
      </c>
      <c r="B23" s="459"/>
      <c r="C23" s="459"/>
      <c r="D23" s="459"/>
      <c r="E23" s="459"/>
      <c r="F23" s="236"/>
      <c r="G23" s="238"/>
      <c r="H23" s="238"/>
      <c r="I23" s="238"/>
      <c r="J23" s="238"/>
      <c r="K23" s="238"/>
      <c r="L23" s="238"/>
      <c r="M23" s="238"/>
      <c r="N23" s="238"/>
      <c r="O23" s="236"/>
      <c r="P23" s="236"/>
      <c r="Q23" s="236"/>
      <c r="R23" s="236"/>
      <c r="S23" s="236"/>
      <c r="T23" s="236"/>
      <c r="U23" s="236"/>
      <c r="V23" s="236"/>
      <c r="W23" s="236"/>
      <c r="X23" s="236"/>
      <c r="Y23" s="238"/>
    </row>
    <row r="24" spans="1:25" s="83" customFormat="1" ht="15.75" x14ac:dyDescent="0.25">
      <c r="F24" s="234"/>
      <c r="G24" s="234"/>
      <c r="H24" s="234"/>
      <c r="I24" s="234"/>
      <c r="J24" s="234"/>
      <c r="K24" s="234"/>
      <c r="L24" s="234"/>
      <c r="M24" s="234"/>
      <c r="N24" s="234"/>
      <c r="O24" s="234"/>
      <c r="P24" s="234"/>
      <c r="Q24" s="234"/>
      <c r="R24" s="234"/>
      <c r="S24" s="234"/>
      <c r="T24" s="234"/>
      <c r="U24" s="234"/>
      <c r="V24" s="234"/>
      <c r="W24" s="234"/>
      <c r="X24" s="234"/>
      <c r="Y24" s="235"/>
    </row>
    <row r="25" spans="1:25" s="83" customFormat="1" ht="18.75" x14ac:dyDescent="0.35">
      <c r="A25" s="246" t="s">
        <v>263</v>
      </c>
      <c r="B25" s="112">
        <f>D39</f>
        <v>119256053.02920668</v>
      </c>
      <c r="C25" s="112"/>
      <c r="D25" s="247" t="str">
        <f>"in "&amp;'Data Inputs'!$C$52 &amp; " dollars"</f>
        <v>in 2019 dollars</v>
      </c>
      <c r="F25" s="234"/>
      <c r="G25" s="234"/>
      <c r="H25" s="234"/>
      <c r="I25" s="234"/>
      <c r="J25" s="234"/>
      <c r="K25" s="234"/>
      <c r="L25" s="234"/>
      <c r="M25" s="234"/>
      <c r="N25" s="234"/>
      <c r="O25" s="234"/>
      <c r="P25" s="234"/>
      <c r="Q25" s="234"/>
      <c r="R25" s="234"/>
      <c r="S25" s="234"/>
      <c r="T25" s="234"/>
      <c r="U25" s="234"/>
      <c r="V25" s="234"/>
      <c r="W25" s="234"/>
      <c r="X25" s="234"/>
      <c r="Y25" s="235"/>
    </row>
    <row r="26" spans="1:25" s="83" customFormat="1" ht="15.75" x14ac:dyDescent="0.25">
      <c r="A26" s="248" t="s">
        <v>264</v>
      </c>
      <c r="B26" s="113">
        <f>D47</f>
        <v>3288841.3515389385</v>
      </c>
      <c r="C26" s="113"/>
      <c r="D26" s="249" t="str">
        <f>"in "&amp;'Data Inputs'!$C$52 &amp; " dollars"</f>
        <v>in 2019 dollars</v>
      </c>
      <c r="F26" s="234"/>
      <c r="G26" s="234"/>
      <c r="H26" s="234"/>
      <c r="I26" s="234"/>
      <c r="J26" s="234"/>
      <c r="K26" s="234"/>
      <c r="L26" s="234"/>
      <c r="M26" s="234"/>
      <c r="N26" s="234"/>
      <c r="O26" s="234"/>
      <c r="P26" s="234"/>
      <c r="Q26" s="234"/>
      <c r="R26" s="234"/>
      <c r="S26" s="234"/>
      <c r="T26" s="234"/>
      <c r="U26" s="234"/>
      <c r="V26" s="234"/>
      <c r="W26" s="234"/>
      <c r="X26" s="234"/>
      <c r="Y26" s="235"/>
    </row>
    <row r="27" spans="1:25" s="83" customFormat="1" ht="15.75" x14ac:dyDescent="0.25">
      <c r="A27" s="248" t="s">
        <v>265</v>
      </c>
      <c r="B27" s="113">
        <f>D55</f>
        <v>0</v>
      </c>
      <c r="C27" s="113"/>
      <c r="D27" s="249" t="str">
        <f>"in "&amp;'Data Inputs'!$C$52 &amp; " dollars"</f>
        <v>in 2019 dollars</v>
      </c>
      <c r="F27" s="234"/>
      <c r="G27" s="234"/>
      <c r="H27" s="234"/>
      <c r="I27" s="234"/>
      <c r="J27" s="234"/>
      <c r="K27" s="234"/>
      <c r="L27" s="234"/>
      <c r="M27" s="234"/>
      <c r="N27" s="234"/>
      <c r="O27" s="234"/>
      <c r="P27" s="234"/>
      <c r="Q27" s="234"/>
      <c r="R27" s="234"/>
      <c r="S27" s="234"/>
      <c r="T27" s="234"/>
      <c r="U27" s="234"/>
      <c r="V27" s="234"/>
      <c r="W27" s="234"/>
      <c r="X27" s="234"/>
      <c r="Y27" s="235"/>
    </row>
    <row r="28" spans="1:25" s="83" customFormat="1" ht="15.75" x14ac:dyDescent="0.25">
      <c r="A28" s="250" t="s">
        <v>266</v>
      </c>
      <c r="B28" s="114">
        <f>D64</f>
        <v>8624401.9258120432</v>
      </c>
      <c r="C28" s="114"/>
      <c r="D28" s="251" t="str">
        <f>"in "&amp;'Data Inputs'!$C$52 &amp; " dollars"</f>
        <v>in 2019 dollars</v>
      </c>
      <c r="F28" s="234"/>
      <c r="G28" s="234"/>
      <c r="H28" s="234"/>
      <c r="I28" s="234"/>
      <c r="J28" s="234"/>
      <c r="K28" s="234"/>
      <c r="L28" s="234"/>
      <c r="M28" s="234"/>
      <c r="N28" s="234"/>
      <c r="O28" s="234"/>
      <c r="P28" s="234"/>
      <c r="Q28" s="234"/>
      <c r="R28" s="234"/>
      <c r="S28" s="234"/>
      <c r="T28" s="234"/>
      <c r="U28" s="234"/>
      <c r="V28" s="234"/>
      <c r="W28" s="234"/>
      <c r="X28" s="234"/>
      <c r="Y28" s="235"/>
    </row>
    <row r="29" spans="1:25" s="83" customFormat="1" ht="15.75" x14ac:dyDescent="0.25">
      <c r="A29" s="243" t="s">
        <v>259</v>
      </c>
      <c r="B29" s="115">
        <f>1.3*(SUM(B25:B28))</f>
        <v>170520085.19852495</v>
      </c>
      <c r="C29" s="115"/>
      <c r="D29" s="244" t="str">
        <f>"in "&amp;'Data Inputs'!$C$52 &amp; " dollars"</f>
        <v>in 2019 dollars</v>
      </c>
      <c r="F29" s="234"/>
      <c r="G29" s="234"/>
      <c r="H29" s="234"/>
      <c r="I29" s="234"/>
      <c r="J29" s="234"/>
      <c r="K29" s="234"/>
      <c r="L29" s="234"/>
      <c r="M29" s="234"/>
      <c r="N29" s="234"/>
      <c r="O29" s="234"/>
      <c r="P29" s="234"/>
      <c r="Q29" s="234"/>
      <c r="R29" s="234"/>
      <c r="S29" s="234"/>
      <c r="T29" s="234"/>
      <c r="U29" s="234"/>
      <c r="V29" s="234"/>
      <c r="W29" s="234"/>
      <c r="X29" s="234"/>
      <c r="Y29" s="235"/>
    </row>
    <row r="30" spans="1:25" s="60" customFormat="1" ht="24.75" customHeight="1" x14ac:dyDescent="0.25">
      <c r="A30" s="458" t="str">
        <f>IF(AND('Data Inputs'!P17=2,'Data Inputs'!V11=3),"* This factor applies because the boiler burns bituminous coal and emits  equal to or greater than 3lb/MMBtu of sulfur dioxide. ", "* Not applicable - This factor applies only to coal-fired boilers that burn bituminous coal and emits equal to or greater than 3lb/MMBtu of sulfur dioxide.")</f>
        <v>* Not applicable - This factor applies only to coal-fired boilers that burn bituminous coal and emits equal to or greater than 3lb/MMBtu of sulfur dioxide.</v>
      </c>
      <c r="B30" s="458"/>
      <c r="C30" s="458"/>
      <c r="D30" s="458"/>
      <c r="F30" s="252"/>
      <c r="G30" s="252"/>
      <c r="H30" s="252"/>
      <c r="I30" s="252"/>
      <c r="J30" s="252"/>
      <c r="K30" s="252"/>
      <c r="L30" s="252"/>
      <c r="M30" s="252"/>
      <c r="N30" s="252"/>
      <c r="O30" s="252"/>
      <c r="P30" s="252"/>
      <c r="Q30" s="252"/>
      <c r="R30" s="252"/>
      <c r="S30" s="252"/>
      <c r="T30" s="252"/>
      <c r="U30" s="252"/>
      <c r="V30" s="252"/>
      <c r="W30" s="252"/>
      <c r="X30" s="252"/>
      <c r="Y30" s="253"/>
    </row>
    <row r="31" spans="1:25" s="60" customFormat="1" ht="15" x14ac:dyDescent="0.25">
      <c r="D31" s="254"/>
      <c r="F31" s="252"/>
      <c r="G31" s="252"/>
      <c r="H31" s="252"/>
      <c r="I31" s="252"/>
      <c r="J31" s="252"/>
      <c r="K31" s="252"/>
      <c r="L31" s="252"/>
      <c r="M31" s="252"/>
      <c r="N31" s="252"/>
      <c r="O31" s="252"/>
      <c r="P31" s="252"/>
      <c r="Q31" s="252"/>
      <c r="R31" s="252"/>
      <c r="S31" s="252"/>
      <c r="T31" s="252"/>
      <c r="U31" s="252"/>
      <c r="V31" s="252"/>
      <c r="W31" s="252"/>
      <c r="X31" s="252"/>
      <c r="Y31" s="253"/>
    </row>
    <row r="32" spans="1:25" s="60" customFormat="1" ht="15" x14ac:dyDescent="0.25">
      <c r="D32" s="254"/>
      <c r="F32" s="252"/>
      <c r="G32" s="252"/>
      <c r="H32" s="252"/>
      <c r="I32" s="252"/>
      <c r="J32" s="252"/>
      <c r="K32" s="252"/>
      <c r="L32" s="252"/>
      <c r="M32" s="252"/>
      <c r="N32" s="252"/>
      <c r="O32" s="252"/>
      <c r="P32" s="252"/>
      <c r="Q32" s="252"/>
      <c r="R32" s="252"/>
      <c r="S32" s="252"/>
      <c r="T32" s="252"/>
      <c r="U32" s="252"/>
      <c r="V32" s="252"/>
      <c r="W32" s="252"/>
      <c r="X32" s="252"/>
      <c r="Y32" s="253"/>
    </row>
    <row r="33" spans="1:25" s="83" customFormat="1" ht="18.75" x14ac:dyDescent="0.35">
      <c r="A33" s="460" t="s">
        <v>267</v>
      </c>
      <c r="B33" s="461"/>
      <c r="C33" s="461"/>
      <c r="D33" s="461"/>
      <c r="E33" s="462"/>
      <c r="F33" s="234"/>
      <c r="G33" s="234"/>
      <c r="H33" s="234"/>
      <c r="I33" s="234"/>
      <c r="J33" s="234"/>
      <c r="K33" s="234"/>
      <c r="L33" s="234"/>
      <c r="M33" s="234"/>
      <c r="N33" s="234"/>
      <c r="O33" s="234"/>
      <c r="P33" s="234"/>
      <c r="Q33" s="234"/>
      <c r="R33" s="234"/>
      <c r="S33" s="234"/>
      <c r="T33" s="234"/>
      <c r="U33" s="234"/>
      <c r="V33" s="234"/>
      <c r="W33" s="234"/>
      <c r="X33" s="234"/>
      <c r="Y33" s="235"/>
    </row>
    <row r="34" spans="1:25" s="83" customFormat="1" ht="15.75" x14ac:dyDescent="0.25">
      <c r="A34" s="463" t="s">
        <v>268</v>
      </c>
      <c r="B34" s="463"/>
      <c r="C34" s="463"/>
      <c r="D34" s="463"/>
      <c r="E34" s="463"/>
      <c r="F34" s="235"/>
      <c r="G34" s="234"/>
      <c r="H34" s="234"/>
      <c r="I34" s="234"/>
      <c r="J34" s="234"/>
      <c r="K34" s="234"/>
      <c r="L34" s="234"/>
      <c r="M34" s="234"/>
      <c r="N34" s="234"/>
      <c r="O34" s="234"/>
      <c r="P34" s="234"/>
      <c r="Q34" s="234"/>
      <c r="R34" s="234"/>
      <c r="S34" s="234"/>
      <c r="T34" s="234"/>
      <c r="U34" s="234"/>
      <c r="V34" s="234"/>
      <c r="W34" s="234"/>
      <c r="X34" s="234"/>
      <c r="Y34" s="235"/>
    </row>
    <row r="35" spans="1:25" s="83" customFormat="1" ht="19.5" x14ac:dyDescent="0.35">
      <c r="A35" s="459" t="s">
        <v>269</v>
      </c>
      <c r="B35" s="459"/>
      <c r="C35" s="459"/>
      <c r="D35" s="459"/>
      <c r="E35" s="459"/>
      <c r="F35" s="235"/>
      <c r="G35" s="255">
        <f>IF(AND('Data Inputs'!S8=2,'Data Inputs'!P8=2, 'Data Inputs'!P17=2),(310000*(('SCR Design Parameters'!C15)^0.2)*(('Data Inputs'!C10*'SCR Design Parameters'!C9*'SCR Design Parameters'!C19)^0.92)*'Cost Estimate'!G3*0.8), 0)</f>
        <v>0</v>
      </c>
      <c r="H35" s="255">
        <f>IF(AND('Data Inputs'!S8=3,'Data Inputs'!P8=2, 'Data Inputs'!P17=2),(310000*(('SCR Design Parameters'!C15)^0.2)*(('Data Inputs'!C10*'SCR Design Parameters'!C9*'SCR Design Parameters'!C19)^0.92)*'Cost Estimate'!G3*'SCR Design Parameters'!C24), 0)</f>
        <v>106339101.1126276</v>
      </c>
      <c r="I35" s="234"/>
      <c r="J35" s="256"/>
      <c r="K35" s="234"/>
      <c r="L35" s="234"/>
      <c r="M35" s="234"/>
      <c r="N35" s="234"/>
      <c r="O35" s="234"/>
      <c r="P35" s="234"/>
      <c r="Q35" s="234"/>
      <c r="R35" s="234"/>
      <c r="S35" s="234"/>
      <c r="T35" s="234"/>
      <c r="U35" s="234"/>
      <c r="V35" s="234"/>
      <c r="W35" s="234"/>
      <c r="X35" s="234"/>
      <c r="Y35" s="235"/>
    </row>
    <row r="36" spans="1:25" s="83" customFormat="1" ht="15.75" x14ac:dyDescent="0.25">
      <c r="A36" s="464" t="s">
        <v>270</v>
      </c>
      <c r="B36" s="464"/>
      <c r="C36" s="464"/>
      <c r="D36" s="464"/>
      <c r="E36" s="464"/>
      <c r="F36" s="235"/>
      <c r="G36" s="236"/>
      <c r="H36" s="234"/>
      <c r="I36" s="234"/>
      <c r="J36" s="234"/>
      <c r="K36" s="234"/>
      <c r="L36" s="234"/>
      <c r="M36" s="234"/>
      <c r="N36" s="234"/>
      <c r="O36" s="234"/>
      <c r="P36" s="234"/>
      <c r="Q36" s="234"/>
      <c r="R36" s="234"/>
      <c r="S36" s="234"/>
      <c r="T36" s="234"/>
      <c r="U36" s="234"/>
      <c r="V36" s="234"/>
      <c r="W36" s="234"/>
      <c r="X36" s="234"/>
      <c r="Y36" s="235"/>
    </row>
    <row r="37" spans="1:25" s="83" customFormat="1" ht="19.5" x14ac:dyDescent="0.35">
      <c r="A37" s="459" t="s">
        <v>271</v>
      </c>
      <c r="B37" s="459"/>
      <c r="C37" s="459"/>
      <c r="D37" s="459"/>
      <c r="E37" s="459"/>
      <c r="F37" s="235"/>
      <c r="G37" s="257">
        <f>IF(AND('Data Inputs'!S8=2,'Data Inputs'!P8=3, 'Data Inputs'!P17=2),(310000*(('SCR Design Parameters'!C15)^0.2)*((0.1*'Data Inputs'!C10*'SCR Design Parameters'!C19)^0.92)*'Cost Estimate'!G3*0.8), 0)</f>
        <v>0</v>
      </c>
      <c r="H37" s="257">
        <f>IF(AND('Data Inputs'!S8=3,'Data Inputs'!P8=3, 'Data Inputs'!P17=2),(310000*(('SCR Design Parameters'!C15)^0.2)*((0.1*'Data Inputs'!C10*'SCR Design Parameters'!C19)^0.92)*'Cost Estimate'!G3*'SCR Design Parameters'!C24), 0)</f>
        <v>0</v>
      </c>
      <c r="I37" s="234"/>
      <c r="J37" s="234"/>
      <c r="K37" s="234"/>
      <c r="L37" s="234"/>
      <c r="M37" s="234"/>
      <c r="N37" s="234"/>
      <c r="O37" s="234"/>
      <c r="P37" s="234"/>
      <c r="Q37" s="234"/>
      <c r="R37" s="234"/>
      <c r="S37" s="234"/>
      <c r="T37" s="234"/>
      <c r="U37" s="234"/>
      <c r="V37" s="234"/>
      <c r="W37" s="234"/>
      <c r="X37" s="234"/>
      <c r="Y37" s="235"/>
    </row>
    <row r="38" spans="1:25" s="83" customFormat="1" ht="15.75" x14ac:dyDescent="0.25">
      <c r="D38" s="233"/>
      <c r="F38" s="234"/>
      <c r="G38" s="237">
        <f>SUM(G35:G37)</f>
        <v>0</v>
      </c>
      <c r="H38" s="237">
        <f>SUM(H35:H37)</f>
        <v>106339101.1126276</v>
      </c>
      <c r="I38" s="234"/>
      <c r="J38" s="234"/>
      <c r="K38" s="234"/>
      <c r="L38" s="234"/>
      <c r="M38" s="234"/>
      <c r="N38" s="234"/>
      <c r="O38" s="234"/>
      <c r="P38" s="234"/>
      <c r="Q38" s="234"/>
      <c r="R38" s="234"/>
      <c r="S38" s="234"/>
      <c r="T38" s="234"/>
      <c r="U38" s="234"/>
      <c r="V38" s="234"/>
      <c r="W38" s="234"/>
      <c r="X38" s="234"/>
      <c r="Y38" s="235"/>
    </row>
    <row r="39" spans="1:25" s="83" customFormat="1" ht="18.75" x14ac:dyDescent="0.35">
      <c r="A39" s="243" t="s">
        <v>272</v>
      </c>
      <c r="B39" s="282"/>
      <c r="C39" s="282"/>
      <c r="D39" s="115">
        <f>(G38+H38)*('Data Inputs'!C53/'Data Inputs'!F53)</f>
        <v>119256053.02920668</v>
      </c>
      <c r="E39" s="244" t="str">
        <f>"in "&amp;'Data Inputs'!$C$52 &amp; " dollars"</f>
        <v>in 2019 dollars</v>
      </c>
      <c r="I39" s="234"/>
      <c r="J39" s="234"/>
      <c r="K39" s="234"/>
      <c r="L39" s="234"/>
      <c r="M39" s="234"/>
      <c r="N39" s="234"/>
      <c r="O39" s="234"/>
      <c r="P39" s="234"/>
      <c r="Q39" s="234"/>
      <c r="R39" s="234"/>
      <c r="S39" s="234"/>
      <c r="T39" s="234"/>
      <c r="U39" s="234"/>
      <c r="V39" s="234"/>
      <c r="W39" s="234"/>
      <c r="X39" s="234"/>
      <c r="Y39" s="235"/>
    </row>
    <row r="40" spans="1:25" s="83" customFormat="1" ht="15.75" x14ac:dyDescent="0.25">
      <c r="B40" s="168"/>
      <c r="C40" s="168"/>
      <c r="D40" s="233"/>
      <c r="E40" s="237"/>
      <c r="F40" s="259"/>
      <c r="G40" s="234"/>
      <c r="H40" s="234"/>
      <c r="I40" s="234"/>
      <c r="J40" s="234"/>
      <c r="K40" s="234"/>
      <c r="L40" s="234"/>
      <c r="M40" s="234"/>
      <c r="N40" s="234"/>
      <c r="O40" s="234"/>
      <c r="P40" s="234"/>
      <c r="Q40" s="234"/>
      <c r="R40" s="234"/>
      <c r="S40" s="234"/>
      <c r="T40" s="234"/>
      <c r="U40" s="234"/>
      <c r="V40" s="234"/>
      <c r="W40" s="234"/>
      <c r="X40" s="234"/>
      <c r="Y40" s="235"/>
    </row>
    <row r="41" spans="1:25" s="83" customFormat="1" ht="15.75" x14ac:dyDescent="0.25">
      <c r="A41" s="460" t="s">
        <v>273</v>
      </c>
      <c r="B41" s="461"/>
      <c r="C41" s="461"/>
      <c r="D41" s="461"/>
      <c r="E41" s="462"/>
      <c r="F41" s="259"/>
      <c r="G41" s="234"/>
      <c r="H41" s="234"/>
      <c r="I41" s="234"/>
      <c r="J41" s="234"/>
      <c r="K41" s="234"/>
      <c r="L41" s="234"/>
      <c r="M41" s="234"/>
      <c r="N41" s="234"/>
      <c r="O41" s="234"/>
      <c r="P41" s="234"/>
      <c r="Q41" s="234"/>
      <c r="R41" s="234"/>
      <c r="S41" s="234"/>
      <c r="T41" s="234"/>
      <c r="U41" s="234"/>
      <c r="V41" s="234"/>
      <c r="W41" s="234"/>
      <c r="X41" s="234"/>
      <c r="Y41" s="235"/>
    </row>
    <row r="42" spans="1:25" s="83" customFormat="1" ht="15.75" x14ac:dyDescent="0.25">
      <c r="A42" s="463" t="s">
        <v>268</v>
      </c>
      <c r="B42" s="463"/>
      <c r="C42" s="463"/>
      <c r="D42" s="463"/>
      <c r="E42" s="463"/>
      <c r="F42" s="260"/>
      <c r="G42" s="261"/>
      <c r="H42" s="261"/>
      <c r="I42" s="234"/>
      <c r="J42" s="234"/>
      <c r="K42" s="234"/>
      <c r="L42" s="234"/>
      <c r="M42" s="234"/>
      <c r="N42" s="234"/>
      <c r="O42" s="234"/>
      <c r="P42" s="234"/>
      <c r="Q42" s="234"/>
      <c r="R42" s="234"/>
      <c r="S42" s="234"/>
      <c r="T42" s="234"/>
      <c r="U42" s="234"/>
      <c r="V42" s="234"/>
      <c r="W42" s="234"/>
      <c r="X42" s="234"/>
      <c r="Y42" s="235"/>
    </row>
    <row r="43" spans="1:25" s="83" customFormat="1" ht="19.5" x14ac:dyDescent="0.35">
      <c r="A43" s="459" t="s">
        <v>274</v>
      </c>
      <c r="B43" s="459"/>
      <c r="C43" s="459"/>
      <c r="D43" s="459"/>
      <c r="E43" s="459"/>
      <c r="F43" s="260"/>
      <c r="G43" s="237">
        <f>IF(AND('Data Inputs'!S8=2,'Data Inputs'!P8=2,'Data Inputs'!P17=2),(564000*(('Data Inputs'!C33*'Data Inputs'!C10*'Data Inputs'!C17*('SCR Design Parameters'!C12/100))^0.25)*0.8), 0)</f>
        <v>0</v>
      </c>
      <c r="H43" s="237">
        <f>IF(AND('Data Inputs'!S8=3,'Data Inputs'!P8=2,'Data Inputs'!P17=2),(564000*(('Data Inputs'!C33*'Data Inputs'!C10*'Data Inputs'!C17*('SCR Design Parameters'!C12/100))^0.25)*'SCR Design Parameters'!C24), 0)</f>
        <v>2932617.876754968</v>
      </c>
      <c r="I43" s="234"/>
      <c r="J43" s="234"/>
      <c r="K43" s="234"/>
      <c r="L43" s="234"/>
      <c r="M43" s="234"/>
      <c r="N43" s="234"/>
      <c r="O43" s="234"/>
      <c r="P43" s="234"/>
      <c r="Q43" s="234"/>
      <c r="R43" s="234"/>
      <c r="S43" s="234"/>
      <c r="T43" s="234"/>
      <c r="U43" s="234"/>
      <c r="V43" s="234"/>
      <c r="W43" s="234"/>
      <c r="X43" s="234"/>
      <c r="Y43" s="235"/>
    </row>
    <row r="44" spans="1:25" s="83" customFormat="1" ht="15.75" x14ac:dyDescent="0.25">
      <c r="A44" s="464" t="s">
        <v>270</v>
      </c>
      <c r="B44" s="464"/>
      <c r="C44" s="464"/>
      <c r="D44" s="464"/>
      <c r="E44" s="464"/>
      <c r="F44" s="235"/>
      <c r="G44" s="237"/>
      <c r="H44" s="261"/>
      <c r="I44" s="234"/>
      <c r="J44" s="234"/>
      <c r="K44" s="234"/>
      <c r="L44" s="234"/>
      <c r="M44" s="234"/>
      <c r="N44" s="234"/>
      <c r="O44" s="234"/>
      <c r="P44" s="234"/>
      <c r="Q44" s="234"/>
      <c r="R44" s="234"/>
      <c r="S44" s="234"/>
      <c r="T44" s="234"/>
      <c r="U44" s="234"/>
      <c r="V44" s="234"/>
      <c r="W44" s="234"/>
      <c r="X44" s="234"/>
      <c r="Y44" s="235"/>
    </row>
    <row r="45" spans="1:25" s="83" customFormat="1" ht="19.5" x14ac:dyDescent="0.35">
      <c r="A45" s="459" t="s">
        <v>275</v>
      </c>
      <c r="B45" s="459"/>
      <c r="C45" s="459"/>
      <c r="D45" s="459"/>
      <c r="E45" s="459"/>
      <c r="F45" s="235"/>
      <c r="G45" s="262">
        <f>IF(AND('Data Inputs'!S8=2,'Data Inputs'!P8=3,'Data Inputs'!P17=2),(564000*(('Data Inputs'!C33*'Data Inputs'!C10*('SCR Design Parameters'!C12/100))^0.25)*0.8), 0)</f>
        <v>0</v>
      </c>
      <c r="H45" s="262">
        <f>IF(AND('Data Inputs'!S8=3,'Data Inputs'!P8=3,'Data Inputs'!P17=2),(564000*(('Data Inputs'!C33*'Data Inputs'!C10*('SCR Design Parameters'!C12/100))^0.25)*'SCR Design Parameters'!C24), 0)</f>
        <v>0</v>
      </c>
      <c r="I45" s="234"/>
      <c r="J45" s="234"/>
      <c r="K45" s="234"/>
      <c r="L45" s="234"/>
      <c r="M45" s="234"/>
      <c r="N45" s="234"/>
      <c r="O45" s="234"/>
      <c r="P45" s="234"/>
      <c r="Q45" s="234"/>
      <c r="R45" s="234"/>
      <c r="S45" s="234"/>
      <c r="T45" s="234"/>
      <c r="U45" s="234"/>
      <c r="V45" s="234"/>
      <c r="W45" s="234"/>
      <c r="X45" s="234"/>
      <c r="Y45" s="235"/>
    </row>
    <row r="46" spans="1:25" s="83" customFormat="1" ht="15.75" x14ac:dyDescent="0.25">
      <c r="D46" s="233"/>
      <c r="F46" s="234"/>
      <c r="G46" s="237"/>
      <c r="H46" s="237"/>
      <c r="I46" s="234"/>
      <c r="J46" s="234"/>
      <c r="K46" s="234"/>
      <c r="L46" s="234"/>
      <c r="M46" s="234"/>
      <c r="N46" s="234"/>
      <c r="O46" s="234"/>
      <c r="P46" s="234"/>
      <c r="Q46" s="234"/>
      <c r="R46" s="234"/>
      <c r="S46" s="234"/>
      <c r="T46" s="234"/>
      <c r="U46" s="234"/>
      <c r="V46" s="234"/>
      <c r="W46" s="234"/>
      <c r="X46" s="234"/>
      <c r="Y46" s="235"/>
    </row>
    <row r="47" spans="1:25" s="83" customFormat="1" ht="15.75" x14ac:dyDescent="0.25">
      <c r="A47" s="243" t="s">
        <v>276</v>
      </c>
      <c r="B47" s="282"/>
      <c r="C47" s="282"/>
      <c r="D47" s="115">
        <f>(G47+H47)*('Data Inputs'!C53/'Data Inputs'!F53)</f>
        <v>3288841.3515389385</v>
      </c>
      <c r="E47" s="244" t="str">
        <f>"in "&amp;'Data Inputs'!$C$52 &amp; " dollars"</f>
        <v>in 2019 dollars</v>
      </c>
      <c r="F47" s="234"/>
      <c r="G47" s="237">
        <f>SUM(G43:G45)</f>
        <v>0</v>
      </c>
      <c r="H47" s="237">
        <f>SUM(H43:H45)</f>
        <v>2932617.876754968</v>
      </c>
      <c r="I47" s="234"/>
      <c r="J47" s="234"/>
      <c r="K47" s="234"/>
      <c r="L47" s="234"/>
      <c r="M47" s="234"/>
      <c r="N47" s="234"/>
      <c r="O47" s="234"/>
      <c r="P47" s="234"/>
      <c r="Q47" s="234"/>
      <c r="R47" s="234"/>
      <c r="S47" s="234"/>
      <c r="T47" s="234"/>
      <c r="U47" s="234"/>
      <c r="V47" s="234"/>
      <c r="W47" s="234"/>
      <c r="X47" s="234"/>
      <c r="Y47" s="235"/>
    </row>
    <row r="48" spans="1:25" s="83" customFormat="1" ht="15.75" x14ac:dyDescent="0.25">
      <c r="D48" s="233"/>
      <c r="F48" s="234"/>
      <c r="G48" s="234"/>
      <c r="H48" s="234"/>
      <c r="I48" s="234"/>
      <c r="J48" s="234"/>
      <c r="K48" s="234"/>
      <c r="L48" s="234"/>
      <c r="M48" s="234"/>
      <c r="N48" s="234"/>
      <c r="O48" s="234"/>
      <c r="P48" s="234"/>
      <c r="Q48" s="234"/>
      <c r="R48" s="234"/>
      <c r="S48" s="234"/>
      <c r="T48" s="234"/>
      <c r="U48" s="234"/>
      <c r="V48" s="234"/>
      <c r="W48" s="234"/>
      <c r="X48" s="234"/>
      <c r="Y48" s="235"/>
    </row>
    <row r="49" spans="1:25" s="83" customFormat="1" ht="15.75" x14ac:dyDescent="0.25">
      <c r="A49" s="460" t="s">
        <v>277</v>
      </c>
      <c r="B49" s="461"/>
      <c r="C49" s="461"/>
      <c r="D49" s="461"/>
      <c r="E49" s="462"/>
      <c r="F49" s="234"/>
      <c r="G49" s="235"/>
      <c r="H49" s="234"/>
      <c r="I49" s="234"/>
      <c r="J49" s="234"/>
      <c r="K49" s="234"/>
      <c r="L49" s="234"/>
      <c r="M49" s="234"/>
      <c r="N49" s="234"/>
      <c r="O49" s="234"/>
      <c r="P49" s="234"/>
      <c r="Q49" s="234"/>
      <c r="R49" s="234"/>
      <c r="S49" s="234"/>
      <c r="T49" s="234"/>
      <c r="U49" s="234"/>
      <c r="V49" s="234"/>
      <c r="W49" s="234"/>
      <c r="X49" s="234"/>
      <c r="Y49" s="235"/>
    </row>
    <row r="50" spans="1:25" s="83" customFormat="1" ht="15.75" x14ac:dyDescent="0.25">
      <c r="A50" s="464" t="s">
        <v>278</v>
      </c>
      <c r="B50" s="464"/>
      <c r="C50" s="464"/>
      <c r="D50" s="464"/>
      <c r="E50" s="464"/>
      <c r="F50" s="234"/>
      <c r="G50" s="235"/>
      <c r="H50" s="234"/>
      <c r="I50" s="234"/>
      <c r="J50" s="234"/>
      <c r="K50" s="234"/>
      <c r="L50" s="234"/>
      <c r="M50" s="234"/>
      <c r="N50" s="234"/>
      <c r="O50" s="234"/>
      <c r="P50" s="234"/>
      <c r="Q50" s="234"/>
      <c r="R50" s="234"/>
      <c r="S50" s="234"/>
      <c r="T50" s="234"/>
      <c r="U50" s="234"/>
      <c r="V50" s="234"/>
      <c r="W50" s="234"/>
      <c r="X50" s="234"/>
      <c r="Y50" s="235"/>
    </row>
    <row r="51" spans="1:25" s="83" customFormat="1" ht="19.5" x14ac:dyDescent="0.35">
      <c r="A51" s="459" t="s">
        <v>279</v>
      </c>
      <c r="B51" s="459"/>
      <c r="C51" s="459"/>
      <c r="D51" s="459"/>
      <c r="E51" s="459"/>
      <c r="F51" s="234"/>
      <c r="G51" s="113">
        <f>IF(AND('Data Inputs'!S8=2,'Data Inputs'!P8=2,'Data Inputs'!P17=2),(69000*('Data Inputs'!C10*'SCR Design Parameters'!C9*'SCR Design Parameters'!C19)^0.78)*(IF('Data Inputs'!V11=3,1,0))*0.8,0)</f>
        <v>0</v>
      </c>
      <c r="H51" s="113">
        <f>IF(AND('Data Inputs'!S8=3, 'Data Inputs'!P8=2,'Data Inputs'!P17=2),(69000*('Data Inputs'!C10*'SCR Design Parameters'!C9*'SCR Design Parameters'!C19)^0.78)*(IF('Data Inputs'!V11=3,1,0))*'SCR Design Parameters'!C24, 0)</f>
        <v>0</v>
      </c>
      <c r="I51" s="234"/>
      <c r="J51" s="234"/>
      <c r="K51" s="234"/>
      <c r="L51" s="234"/>
      <c r="M51" s="234"/>
      <c r="N51" s="234"/>
      <c r="O51" s="234"/>
      <c r="P51" s="234"/>
      <c r="Q51" s="234"/>
      <c r="R51" s="234"/>
      <c r="S51" s="234"/>
      <c r="T51" s="234"/>
      <c r="U51" s="234"/>
      <c r="V51" s="234"/>
      <c r="W51" s="234"/>
      <c r="X51" s="234"/>
      <c r="Y51" s="235"/>
    </row>
    <row r="52" spans="1:25" s="83" customFormat="1" ht="15.75" x14ac:dyDescent="0.25">
      <c r="A52" s="464" t="s">
        <v>270</v>
      </c>
      <c r="B52" s="464"/>
      <c r="C52" s="464"/>
      <c r="D52" s="464"/>
      <c r="E52" s="464"/>
      <c r="F52" s="234"/>
      <c r="G52" s="235"/>
      <c r="H52" s="235"/>
      <c r="I52" s="234"/>
      <c r="J52" s="234"/>
      <c r="K52" s="234"/>
      <c r="L52" s="234"/>
      <c r="M52" s="234"/>
      <c r="N52" s="234"/>
      <c r="O52" s="234"/>
      <c r="P52" s="234"/>
      <c r="Q52" s="234"/>
      <c r="R52" s="234"/>
      <c r="S52" s="234"/>
      <c r="T52" s="234"/>
      <c r="U52" s="234"/>
      <c r="V52" s="234"/>
      <c r="W52" s="234"/>
      <c r="X52" s="234"/>
      <c r="Y52" s="235"/>
    </row>
    <row r="53" spans="1:25" s="83" customFormat="1" ht="19.5" x14ac:dyDescent="0.35">
      <c r="A53" s="459" t="s">
        <v>280</v>
      </c>
      <c r="B53" s="459"/>
      <c r="C53" s="459"/>
      <c r="D53" s="459"/>
      <c r="E53" s="459"/>
      <c r="F53" s="234"/>
      <c r="G53" s="113">
        <f>IF(AND('Data Inputs'!S8=2,'Data Inputs'!P8=3,'Data Inputs'!P17=2), (69000*((0.1*'Data Inputs'!C10*'SCR Design Parameters'!C19)^0.78)*(IF('Data Inputs'!V11=3, 1, 0))*0.8), 0)</f>
        <v>0</v>
      </c>
      <c r="H53" s="113">
        <f>IF(AND('Data Inputs'!S8=3,'Data Inputs'!P8=3,'Data Inputs'!P17=2), (69000*((0.1*'Data Inputs'!C10*'SCR Design Parameters'!C19)^0.78)*(IF('Data Inputs'!V11=3, 1, 0))*'SCR Design Parameters'!C24), 0)</f>
        <v>0</v>
      </c>
      <c r="I53" s="234"/>
      <c r="J53" s="234"/>
      <c r="K53" s="234"/>
      <c r="L53" s="234"/>
      <c r="M53" s="234"/>
      <c r="N53" s="234"/>
      <c r="O53" s="234"/>
      <c r="P53" s="234"/>
      <c r="Q53" s="234"/>
      <c r="R53" s="234"/>
      <c r="S53" s="234"/>
      <c r="T53" s="234"/>
      <c r="U53" s="234"/>
      <c r="V53" s="234"/>
      <c r="W53" s="234"/>
      <c r="X53" s="234"/>
      <c r="Y53" s="235"/>
    </row>
    <row r="54" spans="1:25" s="83" customFormat="1" ht="15.75" x14ac:dyDescent="0.25">
      <c r="D54" s="233"/>
      <c r="F54" s="234"/>
      <c r="G54" s="237"/>
      <c r="H54" s="237"/>
      <c r="I54" s="234"/>
      <c r="J54" s="234"/>
      <c r="K54" s="234"/>
      <c r="L54" s="234"/>
      <c r="M54" s="234"/>
      <c r="N54" s="234"/>
      <c r="O54" s="234"/>
      <c r="P54" s="234"/>
      <c r="Q54" s="234"/>
      <c r="R54" s="234"/>
      <c r="S54" s="234"/>
      <c r="T54" s="234"/>
      <c r="U54" s="234"/>
      <c r="V54" s="234"/>
      <c r="W54" s="234"/>
      <c r="X54" s="234"/>
      <c r="Y54" s="235"/>
    </row>
    <row r="55" spans="1:25" s="83" customFormat="1" ht="18.75" x14ac:dyDescent="0.35">
      <c r="A55" s="243" t="s">
        <v>281</v>
      </c>
      <c r="B55" s="282"/>
      <c r="C55" s="283"/>
      <c r="D55" s="115">
        <f>(G55+H55)*('Data Inputs'!C53/'Data Inputs'!F53)</f>
        <v>0</v>
      </c>
      <c r="E55" s="244" t="str">
        <f>"in "&amp;'Data Inputs'!$C$52 &amp; " dollars"</f>
        <v>in 2019 dollars</v>
      </c>
      <c r="F55" s="234"/>
      <c r="G55" s="237">
        <f>SUM(G51:G53)</f>
        <v>0</v>
      </c>
      <c r="H55" s="237">
        <f>SUM(H51:H53)</f>
        <v>0</v>
      </c>
      <c r="I55" s="234"/>
      <c r="J55" s="234"/>
      <c r="K55" s="234"/>
      <c r="L55" s="234"/>
      <c r="M55" s="234"/>
      <c r="N55" s="234"/>
      <c r="O55" s="234"/>
      <c r="P55" s="234"/>
      <c r="Q55" s="234"/>
      <c r="R55" s="234"/>
      <c r="S55" s="234"/>
      <c r="T55" s="234"/>
      <c r="U55" s="234"/>
      <c r="V55" s="234"/>
      <c r="W55" s="234"/>
      <c r="X55" s="234"/>
      <c r="Y55" s="235"/>
    </row>
    <row r="56" spans="1:25" s="83" customFormat="1" ht="27" customHeight="1" x14ac:dyDescent="0.25">
      <c r="A56" s="471" t="str">
        <f>IF(AND('Data Inputs'!P17=2,'Data Inputs'!V11=3),"* This factor applies because the boiler burns bituminous coal and emits equal to or greater than 3lb/MMBtu of sulfur dioxide. ", "* Not applicable - This factor applies only to coal-fired boilers that burn bituminous coal and emit equal to or greater than 3lb/MMBtu of sulfur dioxide.")</f>
        <v>* Not applicable - This factor applies only to coal-fired boilers that burn bituminous coal and emit equal to or greater than 3lb/MMBtu of sulfur dioxide.</v>
      </c>
      <c r="B56" s="471"/>
      <c r="C56" s="471"/>
      <c r="D56" s="471"/>
      <c r="E56" s="263"/>
      <c r="F56" s="234"/>
      <c r="G56" s="234"/>
      <c r="H56" s="234"/>
      <c r="I56" s="234"/>
      <c r="J56" s="234"/>
      <c r="K56" s="234"/>
      <c r="L56" s="234"/>
      <c r="M56" s="234"/>
      <c r="N56" s="234"/>
      <c r="O56" s="234"/>
      <c r="P56" s="234"/>
      <c r="Q56" s="234"/>
      <c r="R56" s="234"/>
      <c r="S56" s="234"/>
      <c r="T56" s="234"/>
      <c r="U56" s="234"/>
      <c r="V56" s="234"/>
      <c r="W56" s="234"/>
      <c r="X56" s="234"/>
      <c r="Y56" s="235"/>
    </row>
    <row r="57" spans="1:25" s="83" customFormat="1" ht="15.75" x14ac:dyDescent="0.25">
      <c r="A57" s="60"/>
      <c r="B57" s="60"/>
      <c r="C57" s="60"/>
      <c r="D57" s="254"/>
      <c r="E57" s="60"/>
      <c r="F57" s="234"/>
      <c r="G57" s="235"/>
      <c r="H57" s="235"/>
      <c r="I57" s="234"/>
      <c r="J57" s="234"/>
      <c r="K57" s="234"/>
      <c r="L57" s="234"/>
      <c r="M57" s="234"/>
      <c r="N57" s="234"/>
      <c r="O57" s="234"/>
      <c r="P57" s="234"/>
      <c r="Q57" s="234"/>
      <c r="R57" s="234"/>
      <c r="S57" s="234"/>
      <c r="T57" s="234"/>
      <c r="U57" s="234"/>
      <c r="V57" s="234"/>
      <c r="W57" s="234"/>
      <c r="X57" s="234"/>
      <c r="Y57" s="235"/>
    </row>
    <row r="58" spans="1:25" s="83" customFormat="1" ht="15.75" x14ac:dyDescent="0.25">
      <c r="A58" s="460" t="s">
        <v>282</v>
      </c>
      <c r="B58" s="461"/>
      <c r="C58" s="461"/>
      <c r="D58" s="461"/>
      <c r="E58" s="462"/>
      <c r="F58" s="234"/>
      <c r="G58" s="235"/>
      <c r="H58" s="235"/>
      <c r="I58" s="234"/>
      <c r="J58" s="234"/>
      <c r="K58" s="234"/>
      <c r="L58" s="234"/>
      <c r="M58" s="234"/>
      <c r="N58" s="234"/>
      <c r="O58" s="234"/>
      <c r="P58" s="234"/>
      <c r="Q58" s="234"/>
      <c r="R58" s="234"/>
      <c r="S58" s="234"/>
      <c r="T58" s="234"/>
      <c r="U58" s="234"/>
      <c r="V58" s="234"/>
      <c r="W58" s="234"/>
      <c r="X58" s="234"/>
      <c r="Y58" s="235"/>
    </row>
    <row r="59" spans="1:25" s="60" customFormat="1" ht="15.75" x14ac:dyDescent="0.25">
      <c r="A59" s="464" t="s">
        <v>278</v>
      </c>
      <c r="B59" s="464"/>
      <c r="C59" s="464"/>
      <c r="D59" s="464"/>
      <c r="E59" s="464"/>
      <c r="F59" s="252"/>
      <c r="G59" s="253"/>
      <c r="H59" s="253"/>
      <c r="I59" s="252"/>
      <c r="J59" s="252"/>
      <c r="K59" s="252"/>
      <c r="L59" s="252"/>
      <c r="M59" s="252"/>
      <c r="N59" s="252"/>
      <c r="O59" s="252"/>
      <c r="P59" s="252"/>
      <c r="Q59" s="252"/>
      <c r="R59" s="252"/>
      <c r="S59" s="252"/>
      <c r="T59" s="252"/>
      <c r="U59" s="252"/>
      <c r="V59" s="252"/>
      <c r="W59" s="252"/>
      <c r="X59" s="252"/>
      <c r="Y59" s="253"/>
    </row>
    <row r="60" spans="1:25" s="267" customFormat="1" ht="19.5" x14ac:dyDescent="0.35">
      <c r="A60" s="459" t="s">
        <v>283</v>
      </c>
      <c r="B60" s="459"/>
      <c r="C60" s="459"/>
      <c r="D60" s="459"/>
      <c r="E60" s="459"/>
      <c r="F60" s="264"/>
      <c r="G60" s="237">
        <f>IF(AND('Data Inputs'!S8=2,'Data Inputs'!P8=2,'Data Inputs'!P17=2),(529000*(('Data Inputs'!C10*'SCR Design Parameters'!C9*'SCR Design Parameters'!C19)^0.42)*G3*0.8), 0)</f>
        <v>0</v>
      </c>
      <c r="H60" s="237">
        <f>IF(AND('Data Inputs'!S8=3,'Data Inputs'!P8=2,'Data Inputs'!P17=2),(529000*(('Data Inputs'!C10*'SCR Design Parameters'!C9*'SCR Design Parameters'!C19)^0.42)*G3*'SCR Design Parameters'!C24), 0)</f>
        <v>7690269.1740121543</v>
      </c>
      <c r="I60" s="265"/>
      <c r="J60" s="264"/>
      <c r="K60" s="264"/>
      <c r="L60" s="264"/>
      <c r="M60" s="264"/>
      <c r="N60" s="264"/>
      <c r="O60" s="264"/>
      <c r="P60" s="264"/>
      <c r="Q60" s="264"/>
      <c r="R60" s="264"/>
      <c r="S60" s="264"/>
      <c r="T60" s="264"/>
      <c r="U60" s="264"/>
      <c r="V60" s="264"/>
      <c r="W60" s="264"/>
      <c r="X60" s="264"/>
      <c r="Y60" s="266"/>
    </row>
    <row r="61" spans="1:25" s="239" customFormat="1" ht="15.75" x14ac:dyDescent="0.25">
      <c r="A61" s="241" t="s">
        <v>270</v>
      </c>
      <c r="B61" s="241"/>
      <c r="C61" s="241"/>
      <c r="D61" s="241"/>
      <c r="E61" s="241"/>
      <c r="F61" s="236"/>
      <c r="G61" s="237"/>
      <c r="H61" s="237"/>
      <c r="I61" s="237"/>
      <c r="J61" s="236"/>
      <c r="K61" s="236"/>
      <c r="L61" s="236"/>
      <c r="M61" s="236"/>
      <c r="N61" s="236"/>
      <c r="O61" s="236"/>
      <c r="P61" s="236"/>
      <c r="Q61" s="236"/>
      <c r="R61" s="236"/>
      <c r="S61" s="236"/>
      <c r="T61" s="236"/>
      <c r="U61" s="236"/>
      <c r="V61" s="236"/>
      <c r="W61" s="236"/>
      <c r="X61" s="236"/>
      <c r="Y61" s="238"/>
    </row>
    <row r="62" spans="1:25" s="83" customFormat="1" ht="19.5" x14ac:dyDescent="0.35">
      <c r="A62" s="459" t="s">
        <v>284</v>
      </c>
      <c r="B62" s="459"/>
      <c r="C62" s="459"/>
      <c r="D62" s="459"/>
      <c r="E62" s="459"/>
      <c r="F62" s="234"/>
      <c r="G62" s="262">
        <f>IF(AND('Data Inputs'!S8=2,'Data Inputs'!P8=3,'Data Inputs'!P17=2),(529000*((0.1*'Data Inputs'!C10*'SCR Design Parameters'!C19)^0.42)*G3*0.8), 0)</f>
        <v>0</v>
      </c>
      <c r="H62" s="262">
        <f>IF(AND('Data Inputs'!S8=3,'Data Inputs'!P8=3,'Data Inputs'!P17=2),(529000*((0.1*'Data Inputs'!C10*'SCR Design Parameters'!C19)^0.42)*G3*'SCR Design Parameters'!C24), 0)</f>
        <v>0</v>
      </c>
      <c r="I62" s="261"/>
      <c r="J62" s="234"/>
      <c r="K62" s="234"/>
      <c r="L62" s="234"/>
      <c r="M62" s="234"/>
      <c r="N62" s="234"/>
      <c r="O62" s="234"/>
      <c r="P62" s="234"/>
      <c r="Q62" s="234"/>
      <c r="R62" s="234"/>
      <c r="S62" s="234"/>
      <c r="T62" s="234"/>
      <c r="U62" s="234"/>
      <c r="V62" s="234"/>
      <c r="W62" s="234"/>
      <c r="X62" s="234"/>
      <c r="Y62" s="235"/>
    </row>
    <row r="63" spans="1:25" s="83" customFormat="1" ht="15.75" x14ac:dyDescent="0.25">
      <c r="D63" s="233"/>
      <c r="F63" s="234"/>
      <c r="G63" s="237"/>
      <c r="H63" s="237"/>
      <c r="I63" s="261"/>
      <c r="J63" s="234"/>
      <c r="K63" s="234"/>
      <c r="L63" s="234"/>
      <c r="M63" s="234"/>
      <c r="N63" s="234"/>
      <c r="O63" s="234"/>
      <c r="P63" s="234"/>
      <c r="Q63" s="234"/>
      <c r="R63" s="234"/>
      <c r="S63" s="234"/>
      <c r="T63" s="234"/>
      <c r="U63" s="234"/>
      <c r="V63" s="234"/>
      <c r="W63" s="234"/>
      <c r="X63" s="234"/>
      <c r="Y63" s="235"/>
    </row>
    <row r="64" spans="1:25" s="83" customFormat="1" ht="18.75" x14ac:dyDescent="0.35">
      <c r="A64" s="243" t="s">
        <v>285</v>
      </c>
      <c r="B64" s="282"/>
      <c r="C64" s="283"/>
      <c r="D64" s="115">
        <f>(G64+H64)*('Data Inputs'!C53/'Data Inputs'!F53)</f>
        <v>8624401.9258120432</v>
      </c>
      <c r="E64" s="244" t="str">
        <f>"in "&amp;'Data Inputs'!$C$52 &amp; " dollars"</f>
        <v>in 2019 dollars</v>
      </c>
      <c r="F64" s="234"/>
      <c r="G64" s="237">
        <f>SUM(G60:G62)</f>
        <v>0</v>
      </c>
      <c r="H64" s="237">
        <f>SUM(H60:H62)</f>
        <v>7690269.1740121543</v>
      </c>
      <c r="I64" s="261"/>
      <c r="J64" s="234"/>
      <c r="K64" s="234"/>
      <c r="L64" s="234"/>
      <c r="M64" s="234"/>
      <c r="N64" s="234"/>
      <c r="O64" s="234"/>
      <c r="P64" s="234"/>
      <c r="Q64" s="234"/>
      <c r="R64" s="234"/>
      <c r="S64" s="234"/>
      <c r="T64" s="234"/>
      <c r="U64" s="234"/>
      <c r="V64" s="234"/>
      <c r="W64" s="234"/>
      <c r="X64" s="234"/>
      <c r="Y64" s="235"/>
    </row>
    <row r="65" spans="1:25" s="83" customFormat="1" ht="15.75" x14ac:dyDescent="0.25">
      <c r="B65" s="168"/>
      <c r="C65" s="168"/>
      <c r="D65" s="233"/>
      <c r="F65" s="234"/>
      <c r="G65" s="261"/>
      <c r="H65" s="261"/>
      <c r="I65" s="261"/>
      <c r="J65" s="234"/>
      <c r="K65" s="234"/>
      <c r="L65" s="234"/>
      <c r="M65" s="234"/>
      <c r="N65" s="234"/>
      <c r="O65" s="234"/>
      <c r="P65" s="234"/>
      <c r="Q65" s="234"/>
      <c r="R65" s="234"/>
      <c r="S65" s="234"/>
      <c r="T65" s="234"/>
      <c r="U65" s="234"/>
      <c r="V65" s="234"/>
      <c r="W65" s="234"/>
      <c r="X65" s="234"/>
      <c r="Y65" s="235"/>
    </row>
    <row r="66" spans="1:25" s="239" customFormat="1" ht="24" customHeight="1" x14ac:dyDescent="0.25">
      <c r="A66" s="60"/>
      <c r="B66" s="268"/>
      <c r="C66" s="268"/>
      <c r="D66" s="60"/>
      <c r="E66" s="60"/>
      <c r="F66" s="236"/>
      <c r="G66" s="236"/>
      <c r="H66" s="236"/>
      <c r="I66" s="236"/>
      <c r="J66" s="236"/>
      <c r="K66" s="236"/>
      <c r="L66" s="236"/>
      <c r="M66" s="236"/>
      <c r="N66" s="236"/>
      <c r="O66" s="236"/>
      <c r="P66" s="236"/>
      <c r="Q66" s="236"/>
      <c r="R66" s="236"/>
      <c r="S66" s="236"/>
      <c r="T66" s="236"/>
      <c r="U66" s="236"/>
      <c r="V66" s="236"/>
      <c r="W66" s="236"/>
      <c r="X66" s="236"/>
      <c r="Y66" s="238"/>
    </row>
    <row r="67" spans="1:25" s="13" customFormat="1" ht="18.75" x14ac:dyDescent="0.3">
      <c r="A67" s="472" t="s">
        <v>286</v>
      </c>
      <c r="B67" s="472"/>
      <c r="C67" s="472"/>
      <c r="D67" s="472"/>
      <c r="E67" s="472"/>
      <c r="F67" s="47"/>
      <c r="G67" s="47"/>
      <c r="H67" s="47"/>
      <c r="I67" s="47"/>
      <c r="J67" s="47"/>
      <c r="K67" s="47"/>
      <c r="L67" s="47"/>
      <c r="M67" s="47"/>
      <c r="N67" s="47"/>
      <c r="O67" s="47"/>
      <c r="P67" s="47"/>
      <c r="Q67" s="47"/>
      <c r="R67" s="47"/>
      <c r="S67" s="47"/>
      <c r="T67" s="47"/>
      <c r="U67" s="47"/>
      <c r="V67" s="47"/>
      <c r="W67" s="47"/>
      <c r="X67" s="47"/>
      <c r="Y67" s="44"/>
    </row>
    <row r="68" spans="1:25" s="13" customFormat="1" ht="15.75" x14ac:dyDescent="0.25">
      <c r="A68"/>
      <c r="B68"/>
      <c r="C68"/>
      <c r="D68"/>
      <c r="E68"/>
      <c r="F68" s="47"/>
      <c r="G68" s="47"/>
      <c r="H68" s="47"/>
      <c r="I68" s="47"/>
      <c r="J68" s="47"/>
      <c r="K68" s="47"/>
      <c r="L68" s="47"/>
      <c r="M68" s="47"/>
      <c r="N68" s="47"/>
      <c r="O68" s="47"/>
      <c r="P68" s="47"/>
      <c r="Q68" s="47"/>
      <c r="R68" s="47"/>
      <c r="S68" s="47"/>
      <c r="T68" s="47"/>
      <c r="U68" s="47"/>
      <c r="V68" s="47"/>
      <c r="W68" s="47"/>
      <c r="X68" s="47"/>
      <c r="Y68" s="44"/>
    </row>
    <row r="69" spans="1:25" s="13" customFormat="1" ht="15.75" x14ac:dyDescent="0.25">
      <c r="A69" s="468" t="s">
        <v>287</v>
      </c>
      <c r="B69" s="468"/>
      <c r="C69" s="468"/>
      <c r="D69" s="468"/>
      <c r="E69" s="468"/>
      <c r="F69" s="47"/>
      <c r="G69" s="47"/>
      <c r="H69" s="47"/>
      <c r="I69" s="47"/>
      <c r="J69" s="47"/>
      <c r="K69" s="47"/>
      <c r="L69" s="47"/>
      <c r="M69" s="47"/>
      <c r="N69" s="47"/>
      <c r="O69" s="47"/>
      <c r="P69" s="47"/>
      <c r="Q69" s="47"/>
      <c r="R69" s="47"/>
      <c r="S69" s="47"/>
      <c r="T69" s="47"/>
      <c r="U69" s="47"/>
      <c r="V69" s="47"/>
      <c r="W69" s="47"/>
      <c r="X69" s="47"/>
      <c r="Y69" s="44"/>
    </row>
    <row r="70" spans="1:25" s="13" customFormat="1" ht="15.75" x14ac:dyDescent="0.25">
      <c r="A70" s="477" t="s">
        <v>288</v>
      </c>
      <c r="B70" s="477"/>
      <c r="C70" s="477"/>
      <c r="D70" s="477"/>
      <c r="E70" s="477"/>
      <c r="F70" s="47"/>
      <c r="G70" s="47"/>
      <c r="H70" s="47"/>
      <c r="I70" s="47"/>
      <c r="J70" s="47"/>
      <c r="K70" s="47"/>
      <c r="L70" s="47"/>
      <c r="M70" s="47"/>
      <c r="N70" s="47"/>
      <c r="O70" s="47"/>
      <c r="P70" s="47"/>
      <c r="Q70" s="47"/>
      <c r="R70" s="47"/>
      <c r="S70" s="47"/>
      <c r="T70" s="47"/>
      <c r="U70" s="47"/>
      <c r="V70" s="47"/>
      <c r="W70" s="47"/>
      <c r="X70" s="47"/>
      <c r="Y70" s="44"/>
    </row>
    <row r="71" spans="1:25" s="13" customFormat="1" ht="15.75" x14ac:dyDescent="0.25">
      <c r="F71" s="47"/>
      <c r="G71" s="47"/>
      <c r="H71" s="47"/>
      <c r="I71" s="47"/>
      <c r="J71" s="47"/>
      <c r="K71" s="47"/>
      <c r="L71" s="47"/>
      <c r="M71" s="47"/>
      <c r="N71" s="47"/>
      <c r="O71" s="47"/>
      <c r="P71" s="47"/>
      <c r="Q71" s="47"/>
      <c r="R71" s="47"/>
      <c r="S71" s="47"/>
      <c r="T71" s="47"/>
      <c r="U71" s="47"/>
      <c r="V71" s="47"/>
      <c r="W71" s="47"/>
      <c r="X71" s="47"/>
      <c r="Y71" s="44"/>
    </row>
    <row r="72" spans="1:25" s="13" customFormat="1" ht="15.75" x14ac:dyDescent="0.25">
      <c r="A72" s="14" t="s">
        <v>289</v>
      </c>
      <c r="B72" s="284"/>
      <c r="C72" s="112">
        <f>D88</f>
        <v>2080084.7428378535</v>
      </c>
      <c r="D72" s="33" t="str">
        <f>"in "&amp;'Data Inputs'!$C$52 &amp; " dollars"</f>
        <v>in 2019 dollars</v>
      </c>
      <c r="F72" s="47"/>
      <c r="G72" s="158"/>
      <c r="H72" s="47"/>
      <c r="I72" s="47"/>
      <c r="J72" s="47"/>
      <c r="K72" s="47"/>
      <c r="L72" s="47"/>
      <c r="M72" s="47"/>
      <c r="N72" s="47"/>
      <c r="O72" s="47"/>
      <c r="P72" s="47"/>
      <c r="Q72" s="47"/>
      <c r="R72" s="47"/>
      <c r="S72" s="47"/>
      <c r="T72" s="47"/>
      <c r="U72" s="47"/>
      <c r="V72" s="47"/>
      <c r="W72" s="47"/>
      <c r="X72" s="47"/>
      <c r="Y72" s="44"/>
    </row>
    <row r="73" spans="1:25" s="13" customFormat="1" ht="15.75" x14ac:dyDescent="0.25">
      <c r="A73" s="32" t="s">
        <v>290</v>
      </c>
      <c r="B73" s="285"/>
      <c r="C73" s="114">
        <f>D95</f>
        <v>13756223.672113024</v>
      </c>
      <c r="D73" s="34" t="str">
        <f>"in "&amp;'Data Inputs'!$C$52 &amp; " dollars"</f>
        <v>in 2019 dollars</v>
      </c>
      <c r="F73" s="47"/>
      <c r="H73"/>
      <c r="I73"/>
      <c r="J73" s="47"/>
      <c r="K73" s="47"/>
      <c r="L73" s="47"/>
      <c r="M73" s="47"/>
      <c r="N73" s="47"/>
      <c r="O73" s="47"/>
      <c r="P73" s="47"/>
      <c r="Q73" s="47"/>
      <c r="R73" s="47"/>
      <c r="S73" s="47"/>
      <c r="T73" s="47"/>
      <c r="U73" s="47"/>
      <c r="V73" s="47"/>
      <c r="W73" s="47"/>
      <c r="X73" s="47"/>
      <c r="Y73" s="44"/>
    </row>
    <row r="74" spans="1:25" s="18" customFormat="1" ht="15.75" x14ac:dyDescent="0.25">
      <c r="A74" s="16" t="s">
        <v>291</v>
      </c>
      <c r="B74" s="286"/>
      <c r="C74" s="115">
        <f>C72+C73</f>
        <v>15836308.414950877</v>
      </c>
      <c r="D74" s="17" t="str">
        <f>"in "&amp;'Data Inputs'!$C$52 &amp; " dollars"</f>
        <v>in 2019 dollars</v>
      </c>
      <c r="E74" s="13"/>
      <c r="F74" s="48"/>
      <c r="G74" s="159"/>
      <c r="H74" s="48"/>
      <c r="I74" s="48"/>
      <c r="J74" s="48"/>
      <c r="K74" s="48"/>
      <c r="L74" s="48"/>
      <c r="M74" s="48"/>
      <c r="N74" s="48"/>
      <c r="O74" s="48"/>
      <c r="P74" s="48"/>
      <c r="Q74" s="48"/>
      <c r="R74" s="48"/>
      <c r="S74" s="48"/>
      <c r="T74" s="48"/>
      <c r="U74" s="48"/>
      <c r="V74" s="48"/>
      <c r="W74" s="48"/>
      <c r="X74" s="48"/>
      <c r="Y74" s="45"/>
    </row>
    <row r="75" spans="1:25" s="18" customFormat="1" ht="15.75" x14ac:dyDescent="0.25">
      <c r="A75" s="19"/>
      <c r="B75" s="13"/>
      <c r="C75" s="13"/>
      <c r="D75" s="13"/>
      <c r="E75" s="13"/>
      <c r="F75" s="48"/>
      <c r="G75" s="159"/>
      <c r="H75" s="48"/>
      <c r="I75" s="48"/>
      <c r="J75" s="48"/>
      <c r="K75" s="48"/>
      <c r="L75" s="48"/>
      <c r="M75" s="48"/>
      <c r="N75" s="48"/>
      <c r="O75" s="48"/>
      <c r="P75" s="48"/>
      <c r="Q75" s="48"/>
      <c r="R75" s="48"/>
      <c r="S75" s="48"/>
      <c r="T75" s="48"/>
      <c r="U75" s="48"/>
      <c r="V75" s="48"/>
      <c r="W75" s="48"/>
      <c r="X75" s="48"/>
      <c r="Y75" s="45"/>
    </row>
    <row r="76" spans="1:25" s="13" customFormat="1" ht="15.75" x14ac:dyDescent="0.25">
      <c r="A76" s="474" t="s">
        <v>292</v>
      </c>
      <c r="B76" s="474"/>
      <c r="C76" s="474"/>
      <c r="D76" s="474"/>
      <c r="E76" s="474"/>
      <c r="F76" s="47"/>
      <c r="G76" s="47"/>
      <c r="H76" s="47"/>
      <c r="I76" s="47"/>
      <c r="J76" s="47"/>
      <c r="K76" s="47"/>
      <c r="L76" s="47"/>
      <c r="M76" s="47"/>
      <c r="N76" s="47"/>
      <c r="O76" s="47"/>
      <c r="P76" s="47"/>
      <c r="Q76" s="47"/>
      <c r="R76" s="47"/>
      <c r="S76" s="47"/>
      <c r="T76" s="47"/>
      <c r="U76" s="47"/>
      <c r="V76" s="47"/>
      <c r="W76" s="47"/>
      <c r="X76" s="47"/>
      <c r="Y76" s="44"/>
    </row>
    <row r="77" spans="1:25" s="13" customFormat="1" ht="33" customHeight="1" x14ac:dyDescent="0.25">
      <c r="A77" s="475" t="s">
        <v>293</v>
      </c>
      <c r="B77" s="475"/>
      <c r="C77" s="475"/>
      <c r="D77" s="475"/>
      <c r="E77" s="475"/>
      <c r="F77" s="47"/>
      <c r="G77" s="47"/>
      <c r="H77" s="47"/>
      <c r="I77" s="47"/>
      <c r="J77" s="47"/>
      <c r="K77" s="47"/>
      <c r="L77" s="47"/>
      <c r="M77" s="47"/>
      <c r="N77" s="47"/>
      <c r="O77" s="47"/>
      <c r="P77" s="47"/>
      <c r="Q77" s="47"/>
      <c r="R77" s="47"/>
      <c r="S77" s="47"/>
      <c r="T77" s="47"/>
      <c r="U77" s="47"/>
      <c r="V77" s="47"/>
      <c r="W77" s="47"/>
      <c r="X77" s="47"/>
      <c r="Y77" s="44"/>
    </row>
    <row r="78" spans="1:25" s="13" customFormat="1" ht="15.75" x14ac:dyDescent="0.25">
      <c r="A78" s="19"/>
      <c r="F78" s="47"/>
      <c r="G78" s="47"/>
      <c r="H78" s="47"/>
      <c r="I78" s="47"/>
      <c r="J78" s="47"/>
      <c r="K78" s="47"/>
      <c r="L78" s="47"/>
      <c r="M78" s="47"/>
      <c r="N78" s="47"/>
      <c r="O78" s="47"/>
      <c r="P78" s="47"/>
      <c r="Q78" s="47"/>
      <c r="R78" s="47"/>
      <c r="S78" s="47"/>
      <c r="T78" s="47"/>
      <c r="U78" s="47"/>
      <c r="V78" s="47"/>
      <c r="W78" s="47"/>
      <c r="X78" s="47"/>
      <c r="Y78" s="44"/>
    </row>
    <row r="79" spans="1:25" s="13" customFormat="1" ht="15.75" x14ac:dyDescent="0.25">
      <c r="A79" s="14" t="s">
        <v>294</v>
      </c>
      <c r="B79" s="163" t="str">
        <f>'Data Inputs'!C64&amp;" x TCI ="</f>
        <v>0.005 x TCI =</v>
      </c>
      <c r="C79" s="163"/>
      <c r="D79" s="112">
        <f>IF('Data Inputs'!P17&gt;2, (B19*'Data Inputs'!C64), (IF('Data Inputs'!P17=2, (B29*'Data Inputs'!C64), 0)))</f>
        <v>852600.42599262483</v>
      </c>
      <c r="E79" s="33" t="str">
        <f>"in "&amp;'Data Inputs'!$C$52 &amp; " dollars"</f>
        <v>in 2019 dollars</v>
      </c>
      <c r="F79" s="47"/>
      <c r="G79" s="47"/>
      <c r="H79" s="47"/>
      <c r="I79" s="47"/>
      <c r="J79" s="47"/>
      <c r="K79" s="47"/>
      <c r="L79" s="47"/>
      <c r="M79" s="47"/>
      <c r="N79" s="47"/>
      <c r="O79" s="47"/>
      <c r="P79" s="47"/>
      <c r="Q79" s="47"/>
      <c r="R79" s="47"/>
      <c r="S79" s="47"/>
      <c r="T79" s="47"/>
      <c r="U79" s="47"/>
      <c r="V79" s="47"/>
      <c r="W79" s="47"/>
      <c r="X79" s="47"/>
      <c r="Y79" s="44"/>
    </row>
    <row r="80" spans="1:25" s="13" customFormat="1" ht="18.75" x14ac:dyDescent="0.35">
      <c r="A80" s="15" t="s">
        <v>295</v>
      </c>
      <c r="B80" s="13" t="s">
        <v>296</v>
      </c>
      <c r="D80" s="113">
        <f>'Data Inputs'!C55*'SCR Design Parameters'!C50*'SCR Design Parameters'!C11</f>
        <v>192249.92482232235</v>
      </c>
      <c r="E80" s="35" t="str">
        <f>"in "&amp;'Data Inputs'!$C$52 &amp; " dollars"</f>
        <v>in 2019 dollars</v>
      </c>
      <c r="F80" s="47"/>
      <c r="G80" s="47"/>
      <c r="H80" s="47"/>
      <c r="I80" s="47"/>
      <c r="J80" s="47"/>
      <c r="K80" s="47"/>
      <c r="L80" s="47"/>
      <c r="M80" s="47"/>
      <c r="N80" s="47"/>
      <c r="O80" s="47"/>
      <c r="P80" s="47"/>
      <c r="Q80" s="47"/>
      <c r="R80" s="47"/>
      <c r="S80" s="47"/>
      <c r="T80" s="47"/>
      <c r="U80" s="47"/>
      <c r="V80" s="47"/>
      <c r="W80" s="47"/>
      <c r="X80" s="47"/>
      <c r="Y80" s="44"/>
    </row>
    <row r="81" spans="1:25" ht="18.75" x14ac:dyDescent="0.35">
      <c r="A81" s="15" t="s">
        <v>297</v>
      </c>
      <c r="B81" s="13" t="s">
        <v>298</v>
      </c>
      <c r="C81" s="13"/>
      <c r="D81" s="113">
        <f>'SCR Design Parameters'!C61*'Data Inputs'!C56*'SCR Design Parameters'!C11</f>
        <v>577613.81785512378</v>
      </c>
      <c r="E81" s="35" t="str">
        <f>"in "&amp;'Data Inputs'!$C$52 &amp; " dollars"</f>
        <v>in 2019 dollars</v>
      </c>
    </row>
    <row r="82" spans="1:25" ht="15.75" x14ac:dyDescent="0.25">
      <c r="A82" s="15" t="s">
        <v>299</v>
      </c>
      <c r="B82" s="13"/>
      <c r="C82" s="13"/>
      <c r="D82" s="113">
        <f>IF(H83= 1, H85,H88)</f>
        <v>457620.57416778262</v>
      </c>
      <c r="E82" s="270" t="str">
        <f>"in "&amp;'Data Inputs'!$C$52 &amp; " dollars"</f>
        <v>in 2019 dollars</v>
      </c>
    </row>
    <row r="83" spans="1:25" ht="12.75" customHeight="1" x14ac:dyDescent="0.25">
      <c r="A83" s="466"/>
      <c r="B83" s="467"/>
      <c r="D83" s="168"/>
      <c r="E83" s="272"/>
      <c r="H83" s="275">
        <f>IF('Data Inputs'!P17=2,'Data Inputs'!P26,1)</f>
        <v>1</v>
      </c>
    </row>
    <row r="84" spans="1:25" ht="15.75" customHeight="1" x14ac:dyDescent="0.25">
      <c r="A84" s="248" t="str">
        <f>IF(OR('Data Inputs'!P17=2, 'Data Inputs'!P17=1), "For coal-fired boilers, the following methods may be used to calcuate the catalyst replacement cost.", " ")</f>
        <v>For coal-fired boilers, the following methods may be used to calcuate the catalyst replacement cost.</v>
      </c>
      <c r="C84" s="22"/>
      <c r="D84" s="168"/>
      <c r="E84" s="272"/>
    </row>
    <row r="85" spans="1:25" s="9" customFormat="1" ht="18.75" x14ac:dyDescent="0.3">
      <c r="A85" s="15" t="str">
        <f>IF(OR('Data Inputs'!P17=1,'Data Inputs'!P17=2), "Method 1 (for all fuel types):", " ")</f>
        <v>Method 1 (for all fuel types):</v>
      </c>
      <c r="B85" s="287" t="s">
        <v>300</v>
      </c>
      <c r="C85" s="273"/>
      <c r="D85" s="291" t="str">
        <f>IF('Data Inputs'!P17=2, "* Calculation Method "&amp;H83&amp;" selected.", " ")</f>
        <v>* Calculation Method 1 selected.</v>
      </c>
      <c r="E85" s="274"/>
      <c r="F85" s="38"/>
      <c r="G85" s="38" t="s">
        <v>301</v>
      </c>
      <c r="H85" s="269">
        <f>'Data Inputs'!K31*'SCR Design Parameters'!C31*('Data Inputs'!C57/'Data Inputs'!K32)*'SCR Design Parameters'!C30</f>
        <v>457620.57416778262</v>
      </c>
      <c r="I85" s="271"/>
      <c r="J85" s="38"/>
      <c r="K85" s="38"/>
      <c r="L85" s="38"/>
      <c r="M85" s="38"/>
      <c r="N85" s="38"/>
      <c r="O85" s="38"/>
      <c r="P85" s="38"/>
      <c r="Q85" s="38"/>
      <c r="R85" s="38"/>
      <c r="S85" s="38"/>
      <c r="T85" s="38"/>
      <c r="U85" s="38"/>
      <c r="V85" s="38"/>
      <c r="W85" s="38"/>
      <c r="X85" s="38"/>
      <c r="Y85" s="30"/>
    </row>
    <row r="86" spans="1:25" s="9" customFormat="1" ht="19.5" x14ac:dyDescent="0.3">
      <c r="A86" s="15" t="str">
        <f>IF(OR('Data Inputs'!P17=1, 'Data Inputs'!P17=2), "Method 2 (for coal-fired utility boilers):", " ")</f>
        <v>Method 2 (for coal-fired utility boilers):</v>
      </c>
      <c r="B86" s="281" t="s">
        <v>302</v>
      </c>
      <c r="C86" s="279"/>
      <c r="E86" s="280"/>
      <c r="F86" s="38"/>
      <c r="G86" s="38" t="s">
        <v>303</v>
      </c>
      <c r="H86" s="269">
        <f>('Data Inputs'!C10)*0.4*(('SCR Design Parameters'!C19)^2.9)*(('SCR Design Parameters'!C15)^0.71)*('Data Inputs'!C57)*(35.3)</f>
        <v>1882167.4517391459</v>
      </c>
      <c r="I86" s="38"/>
      <c r="J86" s="38"/>
      <c r="K86" s="38"/>
      <c r="L86" s="38"/>
      <c r="M86" s="38"/>
      <c r="N86" s="38"/>
      <c r="O86" s="38"/>
      <c r="P86" s="38"/>
      <c r="Q86" s="38"/>
      <c r="R86" s="38"/>
      <c r="S86" s="38"/>
      <c r="T86" s="38"/>
      <c r="U86" s="38"/>
      <c r="V86" s="38"/>
      <c r="W86" s="38"/>
      <c r="X86" s="38"/>
      <c r="Y86" s="30"/>
    </row>
    <row r="87" spans="1:25" s="9" customFormat="1" ht="35.25" hidden="1" x14ac:dyDescent="0.3">
      <c r="A87" s="293" t="str">
        <f>IF(OR('Data Inputs'!P17=1, 'Data Inputs'!P17=2), "Method 2 (for coal-fired industrial boilers):", " ")</f>
        <v>Method 2 (for coal-fired industrial boilers):</v>
      </c>
      <c r="B87" s="281" t="s">
        <v>304</v>
      </c>
      <c r="C87" s="279"/>
      <c r="E87" s="280"/>
      <c r="F87" s="38"/>
      <c r="G87" s="38" t="s">
        <v>305</v>
      </c>
      <c r="H87" s="269">
        <f>('Data Inputs'!C10/'Data Inputs'!C17)*0.4*(('SCR Design Parameters'!C19)^2.9)*(('SCR Design Parameters'!C15)^0.71)*('Data Inputs'!C57)*(35.3)</f>
        <v>188216.74517391453</v>
      </c>
      <c r="I87" s="38"/>
      <c r="J87" s="38"/>
      <c r="K87" s="38"/>
      <c r="L87" s="38"/>
      <c r="M87" s="38"/>
      <c r="N87" s="38"/>
      <c r="O87" s="38"/>
      <c r="P87" s="38"/>
      <c r="Q87" s="38"/>
      <c r="R87" s="38"/>
      <c r="S87" s="38"/>
      <c r="T87" s="38"/>
      <c r="U87" s="38"/>
      <c r="V87" s="38"/>
      <c r="W87" s="38"/>
      <c r="X87" s="38"/>
      <c r="Y87" s="30"/>
    </row>
    <row r="88" spans="1:25" s="13" customFormat="1" ht="15.75" x14ac:dyDescent="0.25">
      <c r="A88" s="16" t="s">
        <v>306</v>
      </c>
      <c r="B88" s="20"/>
      <c r="C88" s="20"/>
      <c r="D88" s="115">
        <f>SUM(D79:D82)</f>
        <v>2080084.7428378535</v>
      </c>
      <c r="E88" s="17" t="str">
        <f>"in "&amp;'Data Inputs'!$C$52 &amp; " dollars"</f>
        <v>in 2019 dollars</v>
      </c>
      <c r="F88" s="47"/>
      <c r="G88" s="47"/>
      <c r="H88" s="292">
        <f>IF('Data Inputs'!P8=2, 'Cost Estimate'!H86, 'Cost Estimate'!H87)</f>
        <v>1882167.4517391459</v>
      </c>
      <c r="I88" s="47"/>
      <c r="J88" s="47"/>
      <c r="K88" s="47"/>
      <c r="L88" s="47"/>
      <c r="M88" s="47"/>
      <c r="N88" s="47"/>
      <c r="O88" s="47"/>
      <c r="P88" s="47"/>
      <c r="Q88" s="47"/>
      <c r="R88" s="47"/>
      <c r="S88" s="47"/>
      <c r="T88" s="47"/>
      <c r="U88" s="47"/>
      <c r="V88" s="47"/>
      <c r="W88" s="47"/>
      <c r="X88" s="47"/>
      <c r="Y88" s="44"/>
    </row>
    <row r="89" spans="1:25" s="13" customFormat="1" ht="15.75" x14ac:dyDescent="0.25">
      <c r="F89" s="47"/>
      <c r="G89" s="47"/>
      <c r="H89" s="47"/>
      <c r="I89" s="47"/>
      <c r="J89" s="47"/>
      <c r="K89" s="47"/>
      <c r="L89" s="47"/>
      <c r="M89" s="47"/>
      <c r="N89" s="47"/>
      <c r="O89" s="47"/>
      <c r="P89" s="47"/>
      <c r="Q89" s="47"/>
      <c r="R89" s="47"/>
      <c r="S89" s="47"/>
      <c r="T89" s="47"/>
      <c r="U89" s="47"/>
      <c r="V89" s="47"/>
      <c r="W89" s="47"/>
      <c r="X89" s="47"/>
      <c r="Y89" s="44"/>
    </row>
    <row r="90" spans="1:25" s="13" customFormat="1" ht="15.75" x14ac:dyDescent="0.25">
      <c r="A90" s="476" t="s">
        <v>307</v>
      </c>
      <c r="B90" s="476"/>
      <c r="C90" s="476"/>
      <c r="D90" s="476"/>
      <c r="E90" s="476"/>
      <c r="F90" s="47"/>
      <c r="G90" s="47"/>
      <c r="H90" s="47"/>
      <c r="I90" s="47"/>
      <c r="J90" s="47"/>
      <c r="K90" s="47"/>
      <c r="L90" s="47"/>
      <c r="M90" s="47"/>
      <c r="N90" s="47"/>
      <c r="O90" s="47"/>
      <c r="P90" s="47"/>
      <c r="Q90" s="47"/>
      <c r="R90" s="47"/>
      <c r="S90" s="47"/>
      <c r="T90" s="47"/>
      <c r="U90" s="47"/>
      <c r="V90" s="47"/>
      <c r="W90" s="47"/>
      <c r="X90" s="47"/>
      <c r="Y90" s="44"/>
    </row>
    <row r="91" spans="1:25" s="13" customFormat="1" ht="15.75" x14ac:dyDescent="0.25">
      <c r="A91" s="473" t="s">
        <v>308</v>
      </c>
      <c r="B91" s="473"/>
      <c r="C91" s="473"/>
      <c r="D91" s="473"/>
      <c r="E91" s="473"/>
      <c r="F91" s="47"/>
      <c r="G91" s="47"/>
      <c r="H91" s="47"/>
      <c r="I91" s="47"/>
      <c r="J91" s="47"/>
      <c r="K91" s="47"/>
      <c r="L91" s="47"/>
      <c r="M91" s="47"/>
      <c r="N91" s="47"/>
      <c r="O91" s="47"/>
      <c r="P91" s="47"/>
      <c r="Q91" s="47"/>
      <c r="R91" s="47"/>
      <c r="S91" s="47"/>
      <c r="T91" s="47"/>
      <c r="U91" s="47"/>
      <c r="V91" s="47"/>
      <c r="W91" s="47"/>
      <c r="X91" s="47"/>
      <c r="Y91" s="44"/>
    </row>
    <row r="92" spans="1:25" s="13" customFormat="1" ht="15.75" x14ac:dyDescent="0.25">
      <c r="F92" s="47"/>
      <c r="G92" s="47"/>
      <c r="H92" s="47"/>
      <c r="I92" s="47"/>
      <c r="J92" s="47"/>
      <c r="K92" s="47"/>
      <c r="L92" s="47"/>
      <c r="M92" s="47"/>
      <c r="N92" s="47"/>
      <c r="O92" s="47"/>
      <c r="P92" s="47"/>
      <c r="Q92" s="47"/>
      <c r="R92" s="47"/>
      <c r="S92" s="47"/>
      <c r="T92" s="47"/>
      <c r="U92" s="47"/>
      <c r="V92" s="47"/>
      <c r="W92" s="47"/>
      <c r="X92" s="47"/>
      <c r="Y92" s="44"/>
    </row>
    <row r="93" spans="1:25" s="13" customFormat="1" ht="18" customHeight="1" x14ac:dyDescent="0.25">
      <c r="A93" s="21" t="s">
        <v>309</v>
      </c>
      <c r="B93" s="169" t="str">
        <f>'Data Inputs'!C65 &amp;" x (Operator Cost + 0.4 x Annual Maintenance Cost) ="</f>
        <v>0.03 x (Operator Cost + 0.4 x Annual Maintenance Cost) =</v>
      </c>
      <c r="C93" s="169"/>
      <c r="D93" s="112">
        <f>'Data Inputs'!C65*(('Data Inputs'!C31*'Data Inputs'!C58*'Data Inputs'!C59)+(0.4*D79))</f>
        <v>12304.805111911499</v>
      </c>
      <c r="E93" s="33" t="str">
        <f>"in "&amp;'Data Inputs'!$C$52 &amp; " dollars"</f>
        <v>in 2019 dollars</v>
      </c>
      <c r="F93" s="47"/>
      <c r="G93" s="47"/>
      <c r="H93" s="47"/>
      <c r="I93" s="47"/>
      <c r="J93" s="47"/>
      <c r="K93" s="47"/>
      <c r="L93" s="47"/>
      <c r="M93" s="47"/>
      <c r="N93" s="47"/>
      <c r="O93" s="47"/>
      <c r="P93" s="47"/>
      <c r="Q93" s="47"/>
      <c r="R93" s="47"/>
      <c r="S93" s="47"/>
      <c r="T93" s="47"/>
      <c r="U93" s="47"/>
      <c r="V93" s="47"/>
      <c r="W93" s="47"/>
      <c r="X93" s="47"/>
      <c r="Y93" s="44"/>
    </row>
    <row r="94" spans="1:25" s="13" customFormat="1" ht="15.75" x14ac:dyDescent="0.25">
      <c r="A94" s="15" t="s">
        <v>310</v>
      </c>
      <c r="B94" s="13" t="s">
        <v>311</v>
      </c>
      <c r="D94" s="113">
        <f>IF('Data Inputs'!P17&gt;2, B19*'SCR Design Parameters'!C56, (IF('Data Inputs'!P17=2, B29*'SCR Design Parameters'!C56, 0)))</f>
        <v>13743918.867001113</v>
      </c>
      <c r="E94" s="35" t="str">
        <f>"in "&amp;'Data Inputs'!$C$52 &amp; " dollars"</f>
        <v>in 2019 dollars</v>
      </c>
      <c r="F94" s="47"/>
      <c r="G94" s="47"/>
      <c r="H94" s="47"/>
      <c r="I94" s="47"/>
      <c r="J94" s="47"/>
      <c r="K94" s="47"/>
      <c r="L94" s="47"/>
      <c r="M94" s="47"/>
      <c r="N94" s="47"/>
      <c r="O94" s="47"/>
      <c r="P94" s="47"/>
      <c r="Q94" s="47"/>
      <c r="R94" s="47"/>
      <c r="S94" s="47"/>
      <c r="T94" s="47"/>
      <c r="U94" s="47"/>
      <c r="V94" s="47"/>
      <c r="W94" s="47"/>
      <c r="X94" s="47"/>
      <c r="Y94" s="44"/>
    </row>
    <row r="95" spans="1:25" ht="15.75" x14ac:dyDescent="0.25">
      <c r="A95" s="16" t="s">
        <v>312</v>
      </c>
      <c r="B95" s="20" t="s">
        <v>313</v>
      </c>
      <c r="C95" s="20"/>
      <c r="D95" s="115">
        <f>D93+D94</f>
        <v>13756223.672113024</v>
      </c>
      <c r="E95" s="17" t="str">
        <f>"in "&amp;'Data Inputs'!$C$52 &amp; " dollars"</f>
        <v>in 2019 dollars</v>
      </c>
    </row>
    <row r="96" spans="1:25" ht="15.75" x14ac:dyDescent="0.25">
      <c r="A96" s="13"/>
      <c r="B96" s="13"/>
      <c r="C96" s="13"/>
      <c r="D96" s="13"/>
      <c r="E96" s="13"/>
    </row>
    <row r="98" spans="1:5" ht="18.75" x14ac:dyDescent="0.3">
      <c r="A98" s="465" t="s">
        <v>314</v>
      </c>
      <c r="B98" s="465"/>
      <c r="C98" s="465"/>
      <c r="D98" s="465"/>
      <c r="E98" s="465"/>
    </row>
    <row r="99" spans="1:5" ht="15.75" x14ac:dyDescent="0.25">
      <c r="A99" s="13"/>
      <c r="B99" s="13"/>
      <c r="C99" s="13"/>
      <c r="D99" s="13"/>
      <c r="E99" s="13"/>
    </row>
    <row r="100" spans="1:5" ht="15.75" x14ac:dyDescent="0.25">
      <c r="A100" s="473" t="s">
        <v>315</v>
      </c>
      <c r="B100" s="473"/>
      <c r="C100" s="473"/>
      <c r="D100" s="473"/>
      <c r="E100" s="473"/>
    </row>
    <row r="101" spans="1:5" ht="15.75" x14ac:dyDescent="0.5">
      <c r="A101" s="13"/>
      <c r="B101" s="13"/>
      <c r="C101" s="13"/>
      <c r="D101" s="13"/>
      <c r="E101" s="13"/>
    </row>
    <row r="102" spans="1:5" ht="15.75" x14ac:dyDescent="0.5">
      <c r="A102" s="14" t="s">
        <v>316</v>
      </c>
      <c r="B102" s="288"/>
      <c r="C102" s="112">
        <f>C74</f>
        <v>15836308.414950877</v>
      </c>
      <c r="D102" s="469" t="str">
        <f>"per year in "&amp;'Data Inputs'!$C$52 &amp; " dollars"</f>
        <v>per year in 2019 dollars</v>
      </c>
      <c r="E102" s="470"/>
    </row>
    <row r="103" spans="1:5" ht="15.75" x14ac:dyDescent="0.5">
      <c r="A103" s="32" t="s">
        <v>317</v>
      </c>
      <c r="B103" s="289"/>
      <c r="C103" s="162">
        <f>'SCR Design Parameters'!C14</f>
        <v>1832.6192599999999</v>
      </c>
      <c r="D103" s="23" t="s">
        <v>173</v>
      </c>
      <c r="E103" s="24"/>
    </row>
    <row r="104" spans="1:5" ht="15.75" x14ac:dyDescent="0.5">
      <c r="A104" s="16" t="s">
        <v>318</v>
      </c>
      <c r="B104" s="3"/>
      <c r="C104" s="115">
        <f>C102/C103</f>
        <v>8641.3521676896908</v>
      </c>
      <c r="D104" s="290" t="str">
        <f>"per ton of NOx removed in "&amp;'Data Inputs'!$C$52 &amp; " dollars"</f>
        <v>per ton of NOx removed in 2019 dollars</v>
      </c>
      <c r="E104" s="17"/>
    </row>
    <row r="105" spans="1:5" ht="15.75" x14ac:dyDescent="0.5">
      <c r="A105" s="13"/>
      <c r="B105" s="13"/>
      <c r="C105" s="13"/>
      <c r="D105" s="13"/>
      <c r="E105" s="13"/>
    </row>
  </sheetData>
  <sheetProtection formatRows="0"/>
  <mergeCells count="48">
    <mergeCell ref="A83:B83"/>
    <mergeCell ref="A69:E69"/>
    <mergeCell ref="A7:E7"/>
    <mergeCell ref="D102:E102"/>
    <mergeCell ref="A56:D56"/>
    <mergeCell ref="A67:E67"/>
    <mergeCell ref="A91:E91"/>
    <mergeCell ref="A98:E98"/>
    <mergeCell ref="A100:E100"/>
    <mergeCell ref="A58:E58"/>
    <mergeCell ref="A59:E59"/>
    <mergeCell ref="A60:E60"/>
    <mergeCell ref="A76:E76"/>
    <mergeCell ref="A77:E77"/>
    <mergeCell ref="A90:E90"/>
    <mergeCell ref="A70:E70"/>
    <mergeCell ref="A1:E1"/>
    <mergeCell ref="A3:E3"/>
    <mergeCell ref="A22:E22"/>
    <mergeCell ref="A5:E5"/>
    <mergeCell ref="A8:E8"/>
    <mergeCell ref="A9:E9"/>
    <mergeCell ref="A14:E14"/>
    <mergeCell ref="A16:E16"/>
    <mergeCell ref="A17:E17"/>
    <mergeCell ref="A15:E15"/>
    <mergeCell ref="A21:E21"/>
    <mergeCell ref="A13:E13"/>
    <mergeCell ref="A6:E6"/>
    <mergeCell ref="A43:E43"/>
    <mergeCell ref="A62:E62"/>
    <mergeCell ref="A52:E52"/>
    <mergeCell ref="A34:E34"/>
    <mergeCell ref="A50:E50"/>
    <mergeCell ref="A49:E49"/>
    <mergeCell ref="A51:E51"/>
    <mergeCell ref="A35:E35"/>
    <mergeCell ref="A44:E44"/>
    <mergeCell ref="A45:E45"/>
    <mergeCell ref="A53:E53"/>
    <mergeCell ref="A36:E36"/>
    <mergeCell ref="A37:E37"/>
    <mergeCell ref="A30:D30"/>
    <mergeCell ref="A11:E11"/>
    <mergeCell ref="A33:E33"/>
    <mergeCell ref="A41:E41"/>
    <mergeCell ref="A42:E42"/>
    <mergeCell ref="A23:E23"/>
  </mergeCells>
  <pageMargins left="0.7" right="0.7" top="0.75" bottom="0.75" header="0.3" footer="0.3"/>
  <pageSetup scale="77" orientation="portrait" r:id="rId1"/>
  <rowBreaks count="1" manualBreakCount="1">
    <brk id="6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 Me</vt:lpstr>
      <vt:lpstr>Data Inputs</vt:lpstr>
      <vt:lpstr>SCR Design Parameters</vt:lpstr>
      <vt:lpstr>Cost Estimate</vt:lpstr>
      <vt:lpstr>'Cost Estimate'!Print_Area</vt:lpstr>
      <vt:lpstr>'Data Inputs'!Print_Area</vt:lpstr>
      <vt:lpstr>'SCR Design Parameters'!Print_Area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2019-06-04T20:49:12Z</dcterms:created>
  <dcterms:modified xsi:type="dcterms:W3CDTF">2022-08-02T21:30:10Z</dcterms:modified>
</cp:coreProperties>
</file>